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Accounting\Website\"/>
    </mc:Choice>
  </mc:AlternateContent>
  <bookViews>
    <workbookView xWindow="0" yWindow="0" windowWidth="20520" windowHeight="9990" tabRatio="882"/>
  </bookViews>
  <sheets>
    <sheet name="Lead Sheet " sheetId="2" r:id="rId1"/>
    <sheet name="Absecon" sheetId="3" r:id="rId2"/>
    <sheet name="Atlantic City" sheetId="4" r:id="rId3"/>
    <sheet name="Brigantine" sheetId="5" r:id="rId4"/>
    <sheet name="Buena Borough" sheetId="6" r:id="rId5"/>
    <sheet name="Buena Vista" sheetId="7" r:id="rId6"/>
    <sheet name="Corbin City" sheetId="8" r:id="rId7"/>
    <sheet name="Egg Harbor City" sheetId="9" r:id="rId8"/>
    <sheet name="Egg Harbor Twp" sheetId="10" r:id="rId9"/>
    <sheet name="Estell Manor" sheetId="11" r:id="rId10"/>
    <sheet name="Folsom" sheetId="12" r:id="rId11"/>
    <sheet name="Galloway Twp" sheetId="13" r:id="rId12"/>
    <sheet name="Hamilton Twp" sheetId="14" r:id="rId13"/>
    <sheet name="Hammonton" sheetId="15" r:id="rId14"/>
    <sheet name="Linwood" sheetId="16" r:id="rId15"/>
    <sheet name="Longport" sheetId="17" r:id="rId16"/>
    <sheet name="Margate" sheetId="18" r:id="rId17"/>
    <sheet name="Mullica" sheetId="19" r:id="rId18"/>
    <sheet name="Northfield" sheetId="20" r:id="rId19"/>
    <sheet name="Pleasantville" sheetId="21" r:id="rId20"/>
    <sheet name="Port Republic" sheetId="22" r:id="rId21"/>
    <sheet name="Somers Point" sheetId="23" r:id="rId22"/>
    <sheet name="Ventnor" sheetId="24" r:id="rId23"/>
    <sheet name="Weymouth" sheetId="25" r:id="rId24"/>
  </sheets>
  <definedNames>
    <definedName name="_xlnm.Print_Area" localSheetId="1">Absecon!$A$1:$BI$23</definedName>
    <definedName name="_xlnm.Print_Area" localSheetId="2">'Atlantic City'!$A$1:$BK$37</definedName>
    <definedName name="_xlnm.Print_Area" localSheetId="3">Brigantine!$A$1:$BG$21</definedName>
    <definedName name="_xlnm.Print_Area" localSheetId="4">'Buena Borough'!$A$1:$BG$19</definedName>
    <definedName name="_xlnm.Print_Area" localSheetId="5">'Buena Vista'!$A$1:$BS$21</definedName>
    <definedName name="_xlnm.Print_Area" localSheetId="6">'Corbin City'!$A$1:$BG$18</definedName>
    <definedName name="_xlnm.Print_Area" localSheetId="7">'Egg Harbor City'!$A$1:$BQ$23</definedName>
    <definedName name="_xlnm.Print_Area" localSheetId="8">'Egg Harbor Twp'!$A$1:$CG$38</definedName>
    <definedName name="_xlnm.Print_Area" localSheetId="9">'Estell Manor'!$A$1:$BG$20</definedName>
    <definedName name="_xlnm.Print_Area" localSheetId="10">Folsom!$A$1:$BM$20</definedName>
    <definedName name="_xlnm.Print_Area" localSheetId="11">'Galloway Twp'!$A$1:$BC$35</definedName>
    <definedName name="_xlnm.Print_Area" localSheetId="12">'Hamilton Twp'!$A$1:$BU$30</definedName>
    <definedName name="_xlnm.Print_Area" localSheetId="13">Hammonton!$A$1:$CE$25</definedName>
    <definedName name="_xlnm.Print_Area" localSheetId="0">'Lead Sheet '!$A$1:$BE$38</definedName>
    <definedName name="_xlnm.Print_Area" localSheetId="14">Linwood!$A$1:$BQ$24</definedName>
    <definedName name="_xlnm.Print_Area" localSheetId="15">Longport!$A$1:$BA$19</definedName>
    <definedName name="_xlnm.Print_Area" localSheetId="16">Margate!$A$1:$AY$22</definedName>
    <definedName name="_xlnm.Print_Area" localSheetId="17">Mullica!$A$1:$BO$20</definedName>
    <definedName name="_xlnm.Print_Area" localSheetId="18">Northfield!$A$1:$BM$24</definedName>
    <definedName name="_xlnm.Print_Area" localSheetId="19">Pleasantville!$A$1:$BU$25</definedName>
    <definedName name="_xlnm.Print_Area" localSheetId="20">'Port Republic'!$A$1:$BI$19</definedName>
    <definedName name="_xlnm.Print_Area" localSheetId="21">'Somers Point'!$A$1:$CA$26</definedName>
    <definedName name="_xlnm.Print_Area" localSheetId="22">Ventnor!$A$1:$AY$22</definedName>
    <definedName name="_xlnm.Print_Area" localSheetId="23">Weymouth!$A$1:$BI$19</definedName>
    <definedName name="_xlnm.Print_Titles" localSheetId="1">Absecon!$A:$A</definedName>
    <definedName name="_xlnm.Print_Titles" localSheetId="2">'Atlantic City'!$A:$A</definedName>
    <definedName name="_xlnm.Print_Titles" localSheetId="3">Brigantine!$A:$A</definedName>
    <definedName name="_xlnm.Print_Titles" localSheetId="4">'Buena Borough'!$A:$A</definedName>
    <definedName name="_xlnm.Print_Titles" localSheetId="5">'Buena Vista'!$A:$A</definedName>
    <definedName name="_xlnm.Print_Titles" localSheetId="6">'Corbin City'!$A:$A</definedName>
    <definedName name="_xlnm.Print_Titles" localSheetId="7">'Egg Harbor City'!$A:$A</definedName>
    <definedName name="_xlnm.Print_Titles" localSheetId="8">'Egg Harbor Twp'!$A:$A</definedName>
    <definedName name="_xlnm.Print_Titles" localSheetId="9">'Estell Manor'!$A:$A</definedName>
    <definedName name="_xlnm.Print_Titles" localSheetId="10">Folsom!$A:$A</definedName>
    <definedName name="_xlnm.Print_Titles" localSheetId="11">'Galloway Twp'!$A:$A</definedName>
    <definedName name="_xlnm.Print_Titles" localSheetId="12">'Hamilton Twp'!$A:$A</definedName>
    <definedName name="_xlnm.Print_Titles" localSheetId="13">Hammonton!$A:$A</definedName>
    <definedName name="_xlnm.Print_Titles" localSheetId="0">'Lead Sheet '!$A:$A</definedName>
    <definedName name="_xlnm.Print_Titles" localSheetId="14">Linwood!$A:$A</definedName>
    <definedName name="_xlnm.Print_Titles" localSheetId="15">Longport!$A:$A</definedName>
    <definedName name="_xlnm.Print_Titles" localSheetId="16">Margate!$A:$A</definedName>
    <definedName name="_xlnm.Print_Titles" localSheetId="17">Mullica!$A:$A</definedName>
    <definedName name="_xlnm.Print_Titles" localSheetId="18">Northfield!$A:$A</definedName>
    <definedName name="_xlnm.Print_Titles" localSheetId="19">Pleasantville!$A:$A</definedName>
    <definedName name="_xlnm.Print_Titles" localSheetId="20">'Port Republic'!$A:$A</definedName>
    <definedName name="_xlnm.Print_Titles" localSheetId="21">'Somers Point'!$A:$A</definedName>
    <definedName name="_xlnm.Print_Titles" localSheetId="22">Ventnor!$A:$A</definedName>
    <definedName name="_xlnm.Print_Titles" localSheetId="23">Weymouth!$A:$A</definedName>
    <definedName name="Z_7E9A004B_E820_4CD8_B4FD_2F73C3470E10_.wvu.PrintArea" localSheetId="9" hidden="1">'Estell Manor'!$A$1:$AQ$20</definedName>
    <definedName name="Z_7E9A004B_E820_4CD8_B4FD_2F73C3470E10_.wvu.PrintArea" localSheetId="10" hidden="1">Folsom!$A$1:$BM$20</definedName>
    <definedName name="Z_7E9A004B_E820_4CD8_B4FD_2F73C3470E10_.wvu.PrintArea" localSheetId="0" hidden="1">'Lead Sheet '!$A$1:$BE$38</definedName>
    <definedName name="Z_7E9A004B_E820_4CD8_B4FD_2F73C3470E10_.wvu.PrintArea" localSheetId="14" hidden="1">Linwood!$A$1:$AY$24</definedName>
    <definedName name="Z_7E9A004B_E820_4CD8_B4FD_2F73C3470E10_.wvu.PrintArea" localSheetId="18" hidden="1">Northfield!$A$2:$BM$24</definedName>
    <definedName name="Z_7E9A004B_E820_4CD8_B4FD_2F73C3470E10_.wvu.PrintArea" localSheetId="23" hidden="1">Weymouth!$A$1:$AS$20</definedName>
    <definedName name="Z_7E9A004B_E820_4CD8_B4FD_2F73C3470E10_.wvu.PrintTitles" localSheetId="1" hidden="1">Absecon!$A:$A</definedName>
    <definedName name="Z_7E9A004B_E820_4CD8_B4FD_2F73C3470E10_.wvu.PrintTitles" localSheetId="2" hidden="1">'Atlantic City'!$A:$A</definedName>
    <definedName name="Z_7E9A004B_E820_4CD8_B4FD_2F73C3470E10_.wvu.PrintTitles" localSheetId="3" hidden="1">Brigantine!$A:$A</definedName>
    <definedName name="Z_7E9A004B_E820_4CD8_B4FD_2F73C3470E10_.wvu.PrintTitles" localSheetId="4" hidden="1">'Buena Borough'!$A:$A</definedName>
    <definedName name="Z_7E9A004B_E820_4CD8_B4FD_2F73C3470E10_.wvu.PrintTitles" localSheetId="5" hidden="1">'Buena Vista'!$A:$A</definedName>
    <definedName name="Z_7E9A004B_E820_4CD8_B4FD_2F73C3470E10_.wvu.PrintTitles" localSheetId="6" hidden="1">'Corbin City'!$A:$A</definedName>
    <definedName name="Z_7E9A004B_E820_4CD8_B4FD_2F73C3470E10_.wvu.PrintTitles" localSheetId="7" hidden="1">'Egg Harbor City'!$A:$A</definedName>
    <definedName name="Z_7E9A004B_E820_4CD8_B4FD_2F73C3470E10_.wvu.PrintTitles" localSheetId="8" hidden="1">'Egg Harbor Twp'!$A:$A</definedName>
    <definedName name="Z_7E9A004B_E820_4CD8_B4FD_2F73C3470E10_.wvu.PrintTitles" localSheetId="9" hidden="1">'Estell Manor'!$A:$A</definedName>
    <definedName name="Z_7E9A004B_E820_4CD8_B4FD_2F73C3470E10_.wvu.PrintTitles" localSheetId="10" hidden="1">Folsom!$A:$A</definedName>
    <definedName name="Z_7E9A004B_E820_4CD8_B4FD_2F73C3470E10_.wvu.PrintTitles" localSheetId="11" hidden="1">'Galloway Twp'!$A:$A</definedName>
    <definedName name="Z_7E9A004B_E820_4CD8_B4FD_2F73C3470E10_.wvu.PrintTitles" localSheetId="12" hidden="1">'Hamilton Twp'!$A:$A</definedName>
    <definedName name="Z_7E9A004B_E820_4CD8_B4FD_2F73C3470E10_.wvu.PrintTitles" localSheetId="13" hidden="1">Hammonton!$A:$A</definedName>
    <definedName name="Z_7E9A004B_E820_4CD8_B4FD_2F73C3470E10_.wvu.PrintTitles" localSheetId="0" hidden="1">'Lead Sheet '!$A:$A</definedName>
    <definedName name="Z_7E9A004B_E820_4CD8_B4FD_2F73C3470E10_.wvu.PrintTitles" localSheetId="14" hidden="1">Linwood!$A:$A</definedName>
    <definedName name="Z_7E9A004B_E820_4CD8_B4FD_2F73C3470E10_.wvu.PrintTitles" localSheetId="15" hidden="1">Longport!$A:$A</definedName>
    <definedName name="Z_7E9A004B_E820_4CD8_B4FD_2F73C3470E10_.wvu.PrintTitles" localSheetId="16" hidden="1">Margate!$A:$A</definedName>
    <definedName name="Z_7E9A004B_E820_4CD8_B4FD_2F73C3470E10_.wvu.PrintTitles" localSheetId="17" hidden="1">Mullica!$A:$A</definedName>
    <definedName name="Z_7E9A004B_E820_4CD8_B4FD_2F73C3470E10_.wvu.PrintTitles" localSheetId="18" hidden="1">Northfield!$A:$A</definedName>
    <definedName name="Z_7E9A004B_E820_4CD8_B4FD_2F73C3470E10_.wvu.PrintTitles" localSheetId="19" hidden="1">Pleasantville!$A:$A</definedName>
    <definedName name="Z_7E9A004B_E820_4CD8_B4FD_2F73C3470E10_.wvu.PrintTitles" localSheetId="20" hidden="1">'Port Republic'!$A:$A</definedName>
    <definedName name="Z_7E9A004B_E820_4CD8_B4FD_2F73C3470E10_.wvu.PrintTitles" localSheetId="21" hidden="1">'Somers Point'!$A:$A</definedName>
    <definedName name="Z_7E9A004B_E820_4CD8_B4FD_2F73C3470E10_.wvu.PrintTitles" localSheetId="22" hidden="1">Ventnor!$A:$A</definedName>
    <definedName name="Z_7E9A004B_E820_4CD8_B4FD_2F73C3470E10_.wvu.PrintTitles" localSheetId="23" hidden="1">Weymouth!$A:$A</definedName>
    <definedName name="Z_9227C430_E8A9_4621_9D47_B4F21D97F0A4_.wvu.PrintArea" localSheetId="9" hidden="1">'Estell Manor'!$A$1:$AQ$20</definedName>
    <definedName name="Z_9227C430_E8A9_4621_9D47_B4F21D97F0A4_.wvu.PrintArea" localSheetId="10" hidden="1">Folsom!$A$1:$BM$20</definedName>
    <definedName name="Z_9227C430_E8A9_4621_9D47_B4F21D97F0A4_.wvu.PrintArea" localSheetId="0" hidden="1">'Lead Sheet '!$A$1:$BE$38</definedName>
    <definedName name="Z_9227C430_E8A9_4621_9D47_B4F21D97F0A4_.wvu.PrintArea" localSheetId="14" hidden="1">Linwood!$A$1:$AY$24</definedName>
    <definedName name="Z_9227C430_E8A9_4621_9D47_B4F21D97F0A4_.wvu.PrintArea" localSheetId="18" hidden="1">Northfield!$A$2:$BM$24</definedName>
    <definedName name="Z_9227C430_E8A9_4621_9D47_B4F21D97F0A4_.wvu.PrintArea" localSheetId="23" hidden="1">Weymouth!$A$1:$AS$20</definedName>
    <definedName name="Z_9227C430_E8A9_4621_9D47_B4F21D97F0A4_.wvu.PrintTitles" localSheetId="1" hidden="1">Absecon!$A:$A</definedName>
    <definedName name="Z_9227C430_E8A9_4621_9D47_B4F21D97F0A4_.wvu.PrintTitles" localSheetId="2" hidden="1">'Atlantic City'!$A:$A</definedName>
    <definedName name="Z_9227C430_E8A9_4621_9D47_B4F21D97F0A4_.wvu.PrintTitles" localSheetId="3" hidden="1">Brigantine!$A:$A</definedName>
    <definedName name="Z_9227C430_E8A9_4621_9D47_B4F21D97F0A4_.wvu.PrintTitles" localSheetId="4" hidden="1">'Buena Borough'!$A:$A</definedName>
    <definedName name="Z_9227C430_E8A9_4621_9D47_B4F21D97F0A4_.wvu.PrintTitles" localSheetId="5" hidden="1">'Buena Vista'!$A:$A</definedName>
    <definedName name="Z_9227C430_E8A9_4621_9D47_B4F21D97F0A4_.wvu.PrintTitles" localSheetId="6" hidden="1">'Corbin City'!$A:$A</definedName>
    <definedName name="Z_9227C430_E8A9_4621_9D47_B4F21D97F0A4_.wvu.PrintTitles" localSheetId="7" hidden="1">'Egg Harbor City'!$A:$A</definedName>
    <definedName name="Z_9227C430_E8A9_4621_9D47_B4F21D97F0A4_.wvu.PrintTitles" localSheetId="8" hidden="1">'Egg Harbor Twp'!$A:$A</definedName>
    <definedName name="Z_9227C430_E8A9_4621_9D47_B4F21D97F0A4_.wvu.PrintTitles" localSheetId="9" hidden="1">'Estell Manor'!$A:$A</definedName>
    <definedName name="Z_9227C430_E8A9_4621_9D47_B4F21D97F0A4_.wvu.PrintTitles" localSheetId="10" hidden="1">Folsom!$A:$A</definedName>
    <definedName name="Z_9227C430_E8A9_4621_9D47_B4F21D97F0A4_.wvu.PrintTitles" localSheetId="11" hidden="1">'Galloway Twp'!$A:$A</definedName>
    <definedName name="Z_9227C430_E8A9_4621_9D47_B4F21D97F0A4_.wvu.PrintTitles" localSheetId="12" hidden="1">'Hamilton Twp'!$A:$A</definedName>
    <definedName name="Z_9227C430_E8A9_4621_9D47_B4F21D97F0A4_.wvu.PrintTitles" localSheetId="13" hidden="1">Hammonton!$A:$A</definedName>
    <definedName name="Z_9227C430_E8A9_4621_9D47_B4F21D97F0A4_.wvu.PrintTitles" localSheetId="0" hidden="1">'Lead Sheet '!$A:$A</definedName>
    <definedName name="Z_9227C430_E8A9_4621_9D47_B4F21D97F0A4_.wvu.PrintTitles" localSheetId="14" hidden="1">Linwood!$A:$A</definedName>
    <definedName name="Z_9227C430_E8A9_4621_9D47_B4F21D97F0A4_.wvu.PrintTitles" localSheetId="15" hidden="1">Longport!$A:$A</definedName>
    <definedName name="Z_9227C430_E8A9_4621_9D47_B4F21D97F0A4_.wvu.PrintTitles" localSheetId="16" hidden="1">Margate!$A:$A</definedName>
    <definedName name="Z_9227C430_E8A9_4621_9D47_B4F21D97F0A4_.wvu.PrintTitles" localSheetId="17" hidden="1">Mullica!$A:$A</definedName>
    <definedName name="Z_9227C430_E8A9_4621_9D47_B4F21D97F0A4_.wvu.PrintTitles" localSheetId="18" hidden="1">Northfield!$A:$A</definedName>
    <definedName name="Z_9227C430_E8A9_4621_9D47_B4F21D97F0A4_.wvu.PrintTitles" localSheetId="19" hidden="1">Pleasantville!$A:$A</definedName>
    <definedName name="Z_9227C430_E8A9_4621_9D47_B4F21D97F0A4_.wvu.PrintTitles" localSheetId="20" hidden="1">'Port Republic'!$A:$A</definedName>
    <definedName name="Z_9227C430_E8A9_4621_9D47_B4F21D97F0A4_.wvu.PrintTitles" localSheetId="21" hidden="1">'Somers Point'!$A:$A</definedName>
    <definedName name="Z_9227C430_E8A9_4621_9D47_B4F21D97F0A4_.wvu.PrintTitles" localSheetId="22" hidden="1">Ventnor!$A:$A</definedName>
    <definedName name="Z_9227C430_E8A9_4621_9D47_B4F21D97F0A4_.wvu.PrintTitles" localSheetId="23" hidden="1">Weymouth!$A:$A</definedName>
    <definedName name="Z_C3E722D0_E886_4AE8_B327_9CE20DCE1C01_.wvu.PrintArea" localSheetId="2" hidden="1">'Atlantic City'!$A$1:$BK$37</definedName>
    <definedName name="Z_C3E722D0_E886_4AE8_B327_9CE20DCE1C01_.wvu.PrintArea" localSheetId="8" hidden="1">'Egg Harbor Twp'!$A$1:$CG$38</definedName>
    <definedName name="Z_C3E722D0_E886_4AE8_B327_9CE20DCE1C01_.wvu.PrintArea" localSheetId="9" hidden="1">'Estell Manor'!$A$1:$AQ$20</definedName>
    <definedName name="Z_C3E722D0_E886_4AE8_B327_9CE20DCE1C01_.wvu.PrintArea" localSheetId="10" hidden="1">Folsom!$A$1:$BM$20</definedName>
    <definedName name="Z_C3E722D0_E886_4AE8_B327_9CE20DCE1C01_.wvu.PrintArea" localSheetId="0" hidden="1">'Lead Sheet '!$A$1:$BE$38</definedName>
    <definedName name="Z_C3E722D0_E886_4AE8_B327_9CE20DCE1C01_.wvu.PrintArea" localSheetId="14" hidden="1">Linwood!$A$1:$AY$24</definedName>
    <definedName name="Z_C3E722D0_E886_4AE8_B327_9CE20DCE1C01_.wvu.PrintArea" localSheetId="18" hidden="1">Northfield!$A$2:$BM$24</definedName>
    <definedName name="Z_C3E722D0_E886_4AE8_B327_9CE20DCE1C01_.wvu.PrintArea" localSheetId="23" hidden="1">Weymouth!$A$1:$AS$20</definedName>
    <definedName name="Z_C3E722D0_E886_4AE8_B327_9CE20DCE1C01_.wvu.PrintTitles" localSheetId="1" hidden="1">Absecon!$A:$A</definedName>
    <definedName name="Z_C3E722D0_E886_4AE8_B327_9CE20DCE1C01_.wvu.PrintTitles" localSheetId="2" hidden="1">'Atlantic City'!$A:$A</definedName>
    <definedName name="Z_C3E722D0_E886_4AE8_B327_9CE20DCE1C01_.wvu.PrintTitles" localSheetId="3" hidden="1">Brigantine!$A:$A</definedName>
    <definedName name="Z_C3E722D0_E886_4AE8_B327_9CE20DCE1C01_.wvu.PrintTitles" localSheetId="4" hidden="1">'Buena Borough'!$A:$A</definedName>
    <definedName name="Z_C3E722D0_E886_4AE8_B327_9CE20DCE1C01_.wvu.PrintTitles" localSheetId="5" hidden="1">'Buena Vista'!$A:$A</definedName>
    <definedName name="Z_C3E722D0_E886_4AE8_B327_9CE20DCE1C01_.wvu.PrintTitles" localSheetId="6" hidden="1">'Corbin City'!$A:$A</definedName>
    <definedName name="Z_C3E722D0_E886_4AE8_B327_9CE20DCE1C01_.wvu.PrintTitles" localSheetId="7" hidden="1">'Egg Harbor City'!$A:$A</definedName>
    <definedName name="Z_C3E722D0_E886_4AE8_B327_9CE20DCE1C01_.wvu.PrintTitles" localSheetId="8" hidden="1">'Egg Harbor Twp'!$A:$A</definedName>
    <definedName name="Z_C3E722D0_E886_4AE8_B327_9CE20DCE1C01_.wvu.PrintTitles" localSheetId="9" hidden="1">'Estell Manor'!$A:$A</definedName>
    <definedName name="Z_C3E722D0_E886_4AE8_B327_9CE20DCE1C01_.wvu.PrintTitles" localSheetId="10" hidden="1">Folsom!$A:$A</definedName>
    <definedName name="Z_C3E722D0_E886_4AE8_B327_9CE20DCE1C01_.wvu.PrintTitles" localSheetId="11" hidden="1">'Galloway Twp'!$A:$A</definedName>
    <definedName name="Z_C3E722D0_E886_4AE8_B327_9CE20DCE1C01_.wvu.PrintTitles" localSheetId="12" hidden="1">'Hamilton Twp'!$A:$A</definedName>
    <definedName name="Z_C3E722D0_E886_4AE8_B327_9CE20DCE1C01_.wvu.PrintTitles" localSheetId="13" hidden="1">Hammonton!$A:$A</definedName>
    <definedName name="Z_C3E722D0_E886_4AE8_B327_9CE20DCE1C01_.wvu.PrintTitles" localSheetId="0" hidden="1">'Lead Sheet '!$A:$A</definedName>
    <definedName name="Z_C3E722D0_E886_4AE8_B327_9CE20DCE1C01_.wvu.PrintTitles" localSheetId="14" hidden="1">Linwood!$A:$A</definedName>
    <definedName name="Z_C3E722D0_E886_4AE8_B327_9CE20DCE1C01_.wvu.PrintTitles" localSheetId="15" hidden="1">Longport!$A:$A</definedName>
    <definedName name="Z_C3E722D0_E886_4AE8_B327_9CE20DCE1C01_.wvu.PrintTitles" localSheetId="16" hidden="1">Margate!$A:$A</definedName>
    <definedName name="Z_C3E722D0_E886_4AE8_B327_9CE20DCE1C01_.wvu.PrintTitles" localSheetId="17" hidden="1">Mullica!$A:$A</definedName>
    <definedName name="Z_C3E722D0_E886_4AE8_B327_9CE20DCE1C01_.wvu.PrintTitles" localSheetId="18" hidden="1">Northfield!$A:$A</definedName>
    <definedName name="Z_C3E722D0_E886_4AE8_B327_9CE20DCE1C01_.wvu.PrintTitles" localSheetId="19" hidden="1">Pleasantville!$A:$A</definedName>
    <definedName name="Z_C3E722D0_E886_4AE8_B327_9CE20DCE1C01_.wvu.PrintTitles" localSheetId="20" hidden="1">'Port Republic'!$A:$A</definedName>
    <definedName name="Z_C3E722D0_E886_4AE8_B327_9CE20DCE1C01_.wvu.PrintTitles" localSheetId="21" hidden="1">'Somers Point'!$A:$A</definedName>
    <definedName name="Z_C3E722D0_E886_4AE8_B327_9CE20DCE1C01_.wvu.PrintTitles" localSheetId="22" hidden="1">Ventnor!$A:$A</definedName>
    <definedName name="Z_C3E722D0_E886_4AE8_B327_9CE20DCE1C01_.wvu.PrintTitles" localSheetId="23" hidden="1">Weymouth!$A:$A</definedName>
    <definedName name="Z_E44E71C3_F2DB_4787_90CC_B0F1BDA00262_.wvu.PrintArea" localSheetId="1" hidden="1">Absecon!$A$1:$BI$23</definedName>
    <definedName name="Z_E44E71C3_F2DB_4787_90CC_B0F1BDA00262_.wvu.PrintArea" localSheetId="2" hidden="1">'Atlantic City'!$A$1:$BK$38</definedName>
    <definedName name="Z_E44E71C3_F2DB_4787_90CC_B0F1BDA00262_.wvu.PrintArea" localSheetId="3" hidden="1">Brigantine!$A$2:$BG$21</definedName>
    <definedName name="Z_E44E71C3_F2DB_4787_90CC_B0F1BDA00262_.wvu.PrintArea" localSheetId="4" hidden="1">'Buena Borough'!$A$1:$BG$19</definedName>
    <definedName name="Z_E44E71C3_F2DB_4787_90CC_B0F1BDA00262_.wvu.PrintArea" localSheetId="5" hidden="1">'Buena Vista'!$A$3:$BS$21</definedName>
    <definedName name="Z_E44E71C3_F2DB_4787_90CC_B0F1BDA00262_.wvu.PrintArea" localSheetId="6" hidden="1">'Corbin City'!$A$1:$AM$18</definedName>
    <definedName name="Z_E44E71C3_F2DB_4787_90CC_B0F1BDA00262_.wvu.PrintArea" localSheetId="7" hidden="1">'Egg Harbor City'!$A$3:$BQ$23</definedName>
    <definedName name="Z_E44E71C3_F2DB_4787_90CC_B0F1BDA00262_.wvu.PrintArea" localSheetId="8" hidden="1">'Egg Harbor Twp'!$A$1:$CG$39</definedName>
    <definedName name="Z_E44E71C3_F2DB_4787_90CC_B0F1BDA00262_.wvu.PrintArea" localSheetId="9" hidden="1">'Estell Manor'!$A$1:$AQ$20</definedName>
    <definedName name="Z_E44E71C3_F2DB_4787_90CC_B0F1BDA00262_.wvu.PrintArea" localSheetId="10" hidden="1">Folsom!$A$1:$BM$20</definedName>
    <definedName name="Z_E44E71C3_F2DB_4787_90CC_B0F1BDA00262_.wvu.PrintArea" localSheetId="11" hidden="1">'Galloway Twp'!$A$2:$BC$34</definedName>
    <definedName name="Z_E44E71C3_F2DB_4787_90CC_B0F1BDA00262_.wvu.PrintArea" localSheetId="12" hidden="1">'Hamilton Twp'!$A$1:$BU$30</definedName>
    <definedName name="Z_E44E71C3_F2DB_4787_90CC_B0F1BDA00262_.wvu.PrintArea" localSheetId="13" hidden="1">Hammonton!$A$1:$CE$24</definedName>
    <definedName name="Z_E44E71C3_F2DB_4787_90CC_B0F1BDA00262_.wvu.PrintArea" localSheetId="0" hidden="1">'Lead Sheet '!$A$1:$BE$38</definedName>
    <definedName name="Z_E44E71C3_F2DB_4787_90CC_B0F1BDA00262_.wvu.PrintArea" localSheetId="14" hidden="1">Linwood!$A$1:$AY$24</definedName>
    <definedName name="Z_E44E71C3_F2DB_4787_90CC_B0F1BDA00262_.wvu.PrintArea" localSheetId="15" hidden="1">Longport!$A$1:$BA$18</definedName>
    <definedName name="Z_E44E71C3_F2DB_4787_90CC_B0F1BDA00262_.wvu.PrintArea" localSheetId="16" hidden="1">Margate!$A$1:$AY$21</definedName>
    <definedName name="Z_E44E71C3_F2DB_4787_90CC_B0F1BDA00262_.wvu.PrintArea" localSheetId="17" hidden="1">Mullica!$A$1:$AW$20</definedName>
    <definedName name="Z_E44E71C3_F2DB_4787_90CC_B0F1BDA00262_.wvu.PrintArea" localSheetId="18" hidden="1">Northfield!$A$2:$BM$24</definedName>
    <definedName name="Z_E44E71C3_F2DB_4787_90CC_B0F1BDA00262_.wvu.PrintArea" localSheetId="19" hidden="1">Pleasantville!$A$4:$BU$25</definedName>
    <definedName name="Z_E44E71C3_F2DB_4787_90CC_B0F1BDA00262_.wvu.PrintArea" localSheetId="20" hidden="1">'Port Republic'!$A$1:$BI$19</definedName>
    <definedName name="Z_E44E71C3_F2DB_4787_90CC_B0F1BDA00262_.wvu.PrintArea" localSheetId="21" hidden="1">'Somers Point'!$A$1:$BG$25</definedName>
    <definedName name="Z_E44E71C3_F2DB_4787_90CC_B0F1BDA00262_.wvu.PrintArea" localSheetId="22" hidden="1">Ventnor!$A$1:$AY$22</definedName>
    <definedName name="Z_E44E71C3_F2DB_4787_90CC_B0F1BDA00262_.wvu.PrintArea" localSheetId="23" hidden="1">Weymouth!$A$1:$AS$20</definedName>
    <definedName name="Z_E44E71C3_F2DB_4787_90CC_B0F1BDA00262_.wvu.PrintTitles" localSheetId="1" hidden="1">Absecon!$A:$A</definedName>
    <definedName name="Z_E44E71C3_F2DB_4787_90CC_B0F1BDA00262_.wvu.PrintTitles" localSheetId="2" hidden="1">'Atlantic City'!$A:$A</definedName>
    <definedName name="Z_E44E71C3_F2DB_4787_90CC_B0F1BDA00262_.wvu.PrintTitles" localSheetId="3" hidden="1">Brigantine!$A:$A</definedName>
    <definedName name="Z_E44E71C3_F2DB_4787_90CC_B0F1BDA00262_.wvu.PrintTitles" localSheetId="4" hidden="1">'Buena Borough'!$A:$A</definedName>
    <definedName name="Z_E44E71C3_F2DB_4787_90CC_B0F1BDA00262_.wvu.PrintTitles" localSheetId="5" hidden="1">'Buena Vista'!$A:$A</definedName>
    <definedName name="Z_E44E71C3_F2DB_4787_90CC_B0F1BDA00262_.wvu.PrintTitles" localSheetId="6" hidden="1">'Corbin City'!$A:$A</definedName>
    <definedName name="Z_E44E71C3_F2DB_4787_90CC_B0F1BDA00262_.wvu.PrintTitles" localSheetId="7" hidden="1">'Egg Harbor City'!$A:$A</definedName>
    <definedName name="Z_E44E71C3_F2DB_4787_90CC_B0F1BDA00262_.wvu.PrintTitles" localSheetId="8" hidden="1">'Egg Harbor Twp'!$A:$A</definedName>
    <definedName name="Z_E44E71C3_F2DB_4787_90CC_B0F1BDA00262_.wvu.PrintTitles" localSheetId="9" hidden="1">'Estell Manor'!$A:$A</definedName>
    <definedName name="Z_E44E71C3_F2DB_4787_90CC_B0F1BDA00262_.wvu.PrintTitles" localSheetId="10" hidden="1">Folsom!$A:$A</definedName>
    <definedName name="Z_E44E71C3_F2DB_4787_90CC_B0F1BDA00262_.wvu.PrintTitles" localSheetId="11" hidden="1">'Galloway Twp'!$A:$A</definedName>
    <definedName name="Z_E44E71C3_F2DB_4787_90CC_B0F1BDA00262_.wvu.PrintTitles" localSheetId="12" hidden="1">'Hamilton Twp'!$A:$A</definedName>
    <definedName name="Z_E44E71C3_F2DB_4787_90CC_B0F1BDA00262_.wvu.PrintTitles" localSheetId="13" hidden="1">Hammonton!$A:$A</definedName>
    <definedName name="Z_E44E71C3_F2DB_4787_90CC_B0F1BDA00262_.wvu.PrintTitles" localSheetId="0" hidden="1">'Lead Sheet '!$A:$A</definedName>
    <definedName name="Z_E44E71C3_F2DB_4787_90CC_B0F1BDA00262_.wvu.PrintTitles" localSheetId="14" hidden="1">Linwood!$A:$A</definedName>
    <definedName name="Z_E44E71C3_F2DB_4787_90CC_B0F1BDA00262_.wvu.PrintTitles" localSheetId="15" hidden="1">Longport!$A:$A</definedName>
    <definedName name="Z_E44E71C3_F2DB_4787_90CC_B0F1BDA00262_.wvu.PrintTitles" localSheetId="16" hidden="1">Margate!$A:$A</definedName>
    <definedName name="Z_E44E71C3_F2DB_4787_90CC_B0F1BDA00262_.wvu.PrintTitles" localSheetId="17" hidden="1">Mullica!$A:$A</definedName>
    <definedName name="Z_E44E71C3_F2DB_4787_90CC_B0F1BDA00262_.wvu.PrintTitles" localSheetId="18" hidden="1">Northfield!$A:$A</definedName>
    <definedName name="Z_E44E71C3_F2DB_4787_90CC_B0F1BDA00262_.wvu.PrintTitles" localSheetId="19" hidden="1">Pleasantville!$A:$A</definedName>
    <definedName name="Z_E44E71C3_F2DB_4787_90CC_B0F1BDA00262_.wvu.PrintTitles" localSheetId="20" hidden="1">'Port Republic'!$A:$A</definedName>
    <definedName name="Z_E44E71C3_F2DB_4787_90CC_B0F1BDA00262_.wvu.PrintTitles" localSheetId="21" hidden="1">'Somers Point'!$A:$A</definedName>
    <definedName name="Z_E44E71C3_F2DB_4787_90CC_B0F1BDA00262_.wvu.PrintTitles" localSheetId="22" hidden="1">Ventnor!$A:$A</definedName>
    <definedName name="Z_E44E71C3_F2DB_4787_90CC_B0F1BDA00262_.wvu.PrintTitles" localSheetId="23" hidden="1">Weymouth!$A:$A</definedName>
    <definedName name="Z_E8E8F98C_F893_4247_8892_1264000ABD26_.wvu.PrintArea" localSheetId="2" hidden="1">'Atlantic City'!$A$1:$BK$37</definedName>
    <definedName name="Z_E8E8F98C_F893_4247_8892_1264000ABD26_.wvu.PrintArea" localSheetId="8" hidden="1">'Egg Harbor Twp'!$A$1:$CG$38</definedName>
    <definedName name="Z_E8E8F98C_F893_4247_8892_1264000ABD26_.wvu.PrintArea" localSheetId="9" hidden="1">'Estell Manor'!$A$1:$AQ$20</definedName>
    <definedName name="Z_E8E8F98C_F893_4247_8892_1264000ABD26_.wvu.PrintArea" localSheetId="10" hidden="1">Folsom!$A$1:$BM$20</definedName>
    <definedName name="Z_E8E8F98C_F893_4247_8892_1264000ABD26_.wvu.PrintArea" localSheetId="0" hidden="1">'Lead Sheet '!$A$1:$BE$38</definedName>
    <definedName name="Z_E8E8F98C_F893_4247_8892_1264000ABD26_.wvu.PrintArea" localSheetId="14" hidden="1">Linwood!$A$1:$AY$24</definedName>
    <definedName name="Z_E8E8F98C_F893_4247_8892_1264000ABD26_.wvu.PrintArea" localSheetId="18" hidden="1">Northfield!$A$2:$BM$24</definedName>
    <definedName name="Z_E8E8F98C_F893_4247_8892_1264000ABD26_.wvu.PrintArea" localSheetId="23" hidden="1">Weymouth!$A$1:$AS$20</definedName>
    <definedName name="Z_E8E8F98C_F893_4247_8892_1264000ABD26_.wvu.PrintTitles" localSheetId="1" hidden="1">Absecon!$A:$A</definedName>
    <definedName name="Z_E8E8F98C_F893_4247_8892_1264000ABD26_.wvu.PrintTitles" localSheetId="2" hidden="1">'Atlantic City'!$A:$A</definedName>
    <definedName name="Z_E8E8F98C_F893_4247_8892_1264000ABD26_.wvu.PrintTitles" localSheetId="3" hidden="1">Brigantine!$A:$A</definedName>
    <definedName name="Z_E8E8F98C_F893_4247_8892_1264000ABD26_.wvu.PrintTitles" localSheetId="4" hidden="1">'Buena Borough'!$A:$A</definedName>
    <definedName name="Z_E8E8F98C_F893_4247_8892_1264000ABD26_.wvu.PrintTitles" localSheetId="5" hidden="1">'Buena Vista'!$A:$A</definedName>
    <definedName name="Z_E8E8F98C_F893_4247_8892_1264000ABD26_.wvu.PrintTitles" localSheetId="6" hidden="1">'Corbin City'!$A:$A</definedName>
    <definedName name="Z_E8E8F98C_F893_4247_8892_1264000ABD26_.wvu.PrintTitles" localSheetId="7" hidden="1">'Egg Harbor City'!$A:$A</definedName>
    <definedName name="Z_E8E8F98C_F893_4247_8892_1264000ABD26_.wvu.PrintTitles" localSheetId="8" hidden="1">'Egg Harbor Twp'!$A:$A</definedName>
    <definedName name="Z_E8E8F98C_F893_4247_8892_1264000ABD26_.wvu.PrintTitles" localSheetId="9" hidden="1">'Estell Manor'!$A:$A</definedName>
    <definedName name="Z_E8E8F98C_F893_4247_8892_1264000ABD26_.wvu.PrintTitles" localSheetId="10" hidden="1">Folsom!$A:$A</definedName>
    <definedName name="Z_E8E8F98C_F893_4247_8892_1264000ABD26_.wvu.PrintTitles" localSheetId="11" hidden="1">'Galloway Twp'!$A:$A</definedName>
    <definedName name="Z_E8E8F98C_F893_4247_8892_1264000ABD26_.wvu.PrintTitles" localSheetId="12" hidden="1">'Hamilton Twp'!$A:$A</definedName>
    <definedName name="Z_E8E8F98C_F893_4247_8892_1264000ABD26_.wvu.PrintTitles" localSheetId="13" hidden="1">Hammonton!$A:$A</definedName>
    <definedName name="Z_E8E8F98C_F893_4247_8892_1264000ABD26_.wvu.PrintTitles" localSheetId="0" hidden="1">'Lead Sheet '!$A:$A</definedName>
    <definedName name="Z_E8E8F98C_F893_4247_8892_1264000ABD26_.wvu.PrintTitles" localSheetId="14" hidden="1">Linwood!$A:$A</definedName>
    <definedName name="Z_E8E8F98C_F893_4247_8892_1264000ABD26_.wvu.PrintTitles" localSheetId="15" hidden="1">Longport!$A:$A</definedName>
    <definedName name="Z_E8E8F98C_F893_4247_8892_1264000ABD26_.wvu.PrintTitles" localSheetId="16" hidden="1">Margate!$A:$A</definedName>
    <definedName name="Z_E8E8F98C_F893_4247_8892_1264000ABD26_.wvu.PrintTitles" localSheetId="17" hidden="1">Mullica!$A:$A</definedName>
    <definedName name="Z_E8E8F98C_F893_4247_8892_1264000ABD26_.wvu.PrintTitles" localSheetId="18" hidden="1">Northfield!$A:$A</definedName>
    <definedName name="Z_E8E8F98C_F893_4247_8892_1264000ABD26_.wvu.PrintTitles" localSheetId="19" hidden="1">Pleasantville!$A:$A</definedName>
    <definedName name="Z_E8E8F98C_F893_4247_8892_1264000ABD26_.wvu.PrintTitles" localSheetId="20" hidden="1">'Port Republic'!$A:$A</definedName>
    <definedName name="Z_E8E8F98C_F893_4247_8892_1264000ABD26_.wvu.PrintTitles" localSheetId="21" hidden="1">'Somers Point'!$A:$A</definedName>
    <definedName name="Z_E8E8F98C_F893_4247_8892_1264000ABD26_.wvu.PrintTitles" localSheetId="22" hidden="1">Ventnor!$A:$A</definedName>
    <definedName name="Z_E8E8F98C_F893_4247_8892_1264000ABD26_.wvu.PrintTitles" localSheetId="23" hidden="1">Weymouth!$A:$A</definedName>
  </definedNames>
  <calcPr calcId="162913"/>
  <customWorkbookViews>
    <customWorkbookView name="mchenry_kelly - Personal View" guid="{E44E71C3-F2DB-4787-90CC-B0F1BDA00262}" mergeInterval="0" personalView="1" maximized="1" xWindow="1" yWindow="1" windowWidth="1920" windowHeight="850" tabRatio="718" activeSheetId="7"/>
    <customWorkbookView name="Sommers_Mike - Personal View" guid="{C3E722D0-E886-4AE8-B327-9CE20DCE1C01}" mergeInterval="0" personalView="1" maximized="1" xWindow="1" yWindow="1" windowWidth="1920" windowHeight="860" tabRatio="718" activeSheetId="10"/>
    <customWorkbookView name="Mike Sommers - Personal View" guid="{9227C430-E8A9-4621-9D47-B4F21D97F0A4}" mergeInterval="0" personalView="1" maximized="1" xWindow="-8" yWindow="-8" windowWidth="1382" windowHeight="744" tabRatio="718" activeSheetId="2"/>
    <customWorkbookView name="Michael Sommers - Personal View" guid="{7E9A004B-E820-4CD8-B4FD-2F73C3470E10}" mergeInterval="0" personalView="1" maximized="1" xWindow="-13" yWindow="-13" windowWidth="2762" windowHeight="1770" tabRatio="718" activeSheetId="2"/>
    <customWorkbookView name="Atlantic County - Personal View" guid="{E8E8F98C-F893-4247-8892-1264000ABD26}" mergeInterval="0" personalView="1" maximized="1" xWindow="-8" yWindow="-8" windowWidth="1382" windowHeight="744" tabRatio="718" activeSheetId="2"/>
  </customWorkbookViews>
  <fileRecoveryPr autoRecover="0"/>
</workbook>
</file>

<file path=xl/calcChain.xml><?xml version="1.0" encoding="utf-8"?>
<calcChain xmlns="http://schemas.openxmlformats.org/spreadsheetml/2006/main">
  <c r="BE22" i="23" l="1"/>
  <c r="BC22" i="23"/>
  <c r="BA22" i="23"/>
  <c r="AY22" i="23"/>
  <c r="AW22" i="23"/>
  <c r="AS20" i="3"/>
  <c r="BG21" i="23" l="1"/>
  <c r="BE21" i="23"/>
  <c r="BC22" i="21"/>
  <c r="BA22" i="21"/>
  <c r="AS17" i="5" l="1"/>
  <c r="AQ17" i="5"/>
  <c r="AO17" i="5"/>
  <c r="AI15" i="22"/>
  <c r="AU34" i="4"/>
  <c r="AU30" i="2" l="1"/>
  <c r="AU29" i="2"/>
  <c r="AU28" i="2"/>
  <c r="AU27" i="2"/>
  <c r="AU26" i="2"/>
  <c r="AU22" i="2"/>
  <c r="AU21" i="2"/>
  <c r="AU20" i="2"/>
  <c r="AU19" i="2"/>
  <c r="AU16" i="2"/>
  <c r="AU15" i="2"/>
  <c r="AU11" i="2"/>
  <c r="AU10" i="2"/>
  <c r="AU9" i="2"/>
  <c r="AC34" i="4"/>
  <c r="AC34" i="2" s="1"/>
  <c r="S19" i="3"/>
  <c r="S34" i="2" s="1"/>
  <c r="M16" i="19"/>
  <c r="BA35" i="4"/>
  <c r="AS35" i="2" s="1"/>
  <c r="AY35" i="4"/>
  <c r="AS36" i="2"/>
  <c r="AS34" i="2"/>
  <c r="AQ36" i="2"/>
  <c r="AQ35" i="2"/>
  <c r="AQ34" i="2"/>
  <c r="AK36" i="2"/>
  <c r="AK35" i="2"/>
  <c r="AK34" i="2"/>
  <c r="AI36" i="2"/>
  <c r="AI35" i="2"/>
  <c r="AI34" i="2"/>
  <c r="BK22" i="23"/>
  <c r="BI22" i="23"/>
  <c r="AU22" i="23"/>
  <c r="BK21" i="23"/>
  <c r="BI21" i="23"/>
  <c r="AU21" i="23"/>
  <c r="AK22" i="23"/>
  <c r="AI22" i="23"/>
  <c r="AG22" i="23"/>
  <c r="AE22" i="23"/>
  <c r="U22" i="23"/>
  <c r="S22" i="23"/>
  <c r="AK21" i="23"/>
  <c r="AI21" i="23"/>
  <c r="AG21" i="23"/>
  <c r="AE21" i="23"/>
  <c r="AC21" i="23"/>
  <c r="U21" i="23"/>
  <c r="S21" i="23"/>
  <c r="E22" i="23"/>
  <c r="C22" i="23"/>
  <c r="M21" i="23"/>
  <c r="K21" i="23"/>
  <c r="G21" i="23"/>
  <c r="E21" i="23"/>
  <c r="C21" i="23"/>
  <c r="AY15" i="22"/>
  <c r="AW15" i="22"/>
  <c r="AG15" i="22"/>
  <c r="AE15" i="22"/>
  <c r="U15" i="22"/>
  <c r="S15" i="22"/>
  <c r="E15" i="22"/>
  <c r="C15" i="22"/>
  <c r="BC21" i="21"/>
  <c r="BA21" i="21"/>
  <c r="BK22" i="21"/>
  <c r="BI22" i="21"/>
  <c r="BG22" i="21"/>
  <c r="BE22" i="21"/>
  <c r="AY22" i="21"/>
  <c r="AW22" i="21"/>
  <c r="AU22" i="21"/>
  <c r="AS22" i="21"/>
  <c r="AQ22" i="21"/>
  <c r="BK21" i="21"/>
  <c r="BI21" i="21"/>
  <c r="BG21" i="21"/>
  <c r="BE21" i="21"/>
  <c r="AY21" i="21"/>
  <c r="AW21" i="21"/>
  <c r="AU21" i="21"/>
  <c r="AS21" i="21"/>
  <c r="AQ21" i="21"/>
  <c r="AO22" i="21"/>
  <c r="AK22" i="21"/>
  <c r="AG22" i="21"/>
  <c r="AE22" i="21"/>
  <c r="W22" i="21"/>
  <c r="U22" i="21"/>
  <c r="S22" i="21"/>
  <c r="AO21" i="21"/>
  <c r="AK21" i="21"/>
  <c r="AG21" i="21"/>
  <c r="AE21" i="21"/>
  <c r="AA21" i="21"/>
  <c r="W21" i="21"/>
  <c r="U21" i="21"/>
  <c r="S21" i="21"/>
  <c r="K22" i="21"/>
  <c r="G22" i="21"/>
  <c r="E22" i="21"/>
  <c r="C22" i="21"/>
  <c r="M21" i="21"/>
  <c r="I21" i="21"/>
  <c r="G21" i="21"/>
  <c r="E21" i="21"/>
  <c r="C21" i="21"/>
  <c r="BC22" i="20"/>
  <c r="BA22" i="20"/>
  <c r="AY22" i="20"/>
  <c r="AW22" i="20"/>
  <c r="AU22" i="20"/>
  <c r="BC21" i="20"/>
  <c r="BA21" i="20"/>
  <c r="AY21" i="20"/>
  <c r="AW21" i="20"/>
  <c r="AU21" i="20"/>
  <c r="AK22" i="20"/>
  <c r="AI22" i="20"/>
  <c r="AG22" i="20"/>
  <c r="AE22" i="20"/>
  <c r="U22" i="20"/>
  <c r="S22" i="20"/>
  <c r="AK21" i="20"/>
  <c r="AI21" i="20"/>
  <c r="AG21" i="20"/>
  <c r="AE21" i="20"/>
  <c r="U21" i="20"/>
  <c r="S21" i="20"/>
  <c r="E22" i="20"/>
  <c r="C22" i="20"/>
  <c r="G21" i="20"/>
  <c r="E21" i="20"/>
  <c r="C21" i="20"/>
  <c r="BE16" i="19"/>
  <c r="BC16" i="19"/>
  <c r="BA16" i="19"/>
  <c r="AY16" i="19"/>
  <c r="AW16" i="19"/>
  <c r="AU16" i="19"/>
  <c r="AS16" i="19"/>
  <c r="AQ16" i="19"/>
  <c r="AO16" i="19"/>
  <c r="AM16" i="19"/>
  <c r="AK16" i="19"/>
  <c r="AI16" i="19"/>
  <c r="AG16" i="19"/>
  <c r="AE16" i="19"/>
  <c r="AC16" i="19"/>
  <c r="U16" i="19"/>
  <c r="S16" i="19"/>
  <c r="I16" i="19"/>
  <c r="G16" i="19"/>
  <c r="E16" i="19"/>
  <c r="E34" i="2"/>
  <c r="C16" i="19"/>
  <c r="BC19" i="16"/>
  <c r="BA19" i="16"/>
  <c r="AY19" i="16"/>
  <c r="AW19" i="16"/>
  <c r="BC18" i="16"/>
  <c r="BA18" i="16"/>
  <c r="AY18" i="16"/>
  <c r="AW18" i="16"/>
  <c r="BG19" i="16"/>
  <c r="BE19" i="16"/>
  <c r="AU19" i="16"/>
  <c r="BG18" i="16"/>
  <c r="BE18" i="16"/>
  <c r="AU18" i="16"/>
  <c r="AK19" i="16"/>
  <c r="AI19" i="16"/>
  <c r="AG19" i="16"/>
  <c r="AE19" i="16"/>
  <c r="U19" i="16"/>
  <c r="S19" i="16"/>
  <c r="AK18" i="16"/>
  <c r="AI18" i="16"/>
  <c r="AG18" i="16"/>
  <c r="AE18" i="16"/>
  <c r="AA18" i="16"/>
  <c r="U18" i="16"/>
  <c r="U34" i="2" s="1"/>
  <c r="S18" i="16"/>
  <c r="E19" i="16"/>
  <c r="E35" i="2" s="1"/>
  <c r="C19" i="16"/>
  <c r="G18" i="16"/>
  <c r="E18" i="16"/>
  <c r="C18" i="16"/>
  <c r="BC19" i="9"/>
  <c r="BA19" i="9"/>
  <c r="AY19" i="9"/>
  <c r="BG19" i="9"/>
  <c r="BE19" i="9"/>
  <c r="AW19" i="9"/>
  <c r="AU19" i="9"/>
  <c r="AS19" i="9"/>
  <c r="AQ19" i="9"/>
  <c r="AO19" i="9"/>
  <c r="AM19" i="9"/>
  <c r="AK19" i="9"/>
  <c r="AI19" i="9"/>
  <c r="AG19" i="9"/>
  <c r="AE19" i="9"/>
  <c r="AE34" i="2" s="1"/>
  <c r="U19" i="9"/>
  <c r="S19" i="9"/>
  <c r="G19" i="9"/>
  <c r="E19" i="9"/>
  <c r="C19" i="9"/>
  <c r="AG36" i="2"/>
  <c r="AG35" i="2"/>
  <c r="AG34" i="2"/>
  <c r="AE36" i="2"/>
  <c r="AE35" i="2"/>
  <c r="AC36" i="2"/>
  <c r="AC35" i="2"/>
  <c r="AA36" i="2"/>
  <c r="AA35" i="2"/>
  <c r="AA34" i="2"/>
  <c r="Y36" i="2"/>
  <c r="Y35" i="2"/>
  <c r="Y34" i="2"/>
  <c r="W36" i="2"/>
  <c r="W35" i="2"/>
  <c r="W34" i="2"/>
  <c r="U36" i="2"/>
  <c r="U35" i="2"/>
  <c r="S36" i="2"/>
  <c r="S35" i="2"/>
  <c r="Q36" i="2"/>
  <c r="Q35" i="2"/>
  <c r="Q34" i="2"/>
  <c r="O36" i="2"/>
  <c r="O35" i="2"/>
  <c r="O34" i="2"/>
  <c r="M36" i="2"/>
  <c r="M35" i="2"/>
  <c r="M34" i="2"/>
  <c r="K36" i="2"/>
  <c r="K35" i="2"/>
  <c r="K34" i="2"/>
  <c r="I36" i="2"/>
  <c r="I35" i="2"/>
  <c r="I34" i="2"/>
  <c r="G36" i="2"/>
  <c r="G35" i="2"/>
  <c r="G34" i="2"/>
  <c r="E36" i="2"/>
  <c r="AW17" i="5"/>
  <c r="AU17" i="5"/>
  <c r="AM17" i="5"/>
  <c r="AK17" i="5"/>
  <c r="AI17" i="5"/>
  <c r="AG17" i="5"/>
  <c r="AE17" i="5"/>
  <c r="Y17" i="5"/>
  <c r="U17" i="5"/>
  <c r="S17" i="5"/>
  <c r="M17" i="5"/>
  <c r="K17" i="5"/>
  <c r="G17" i="5"/>
  <c r="E17" i="5"/>
  <c r="C17" i="5"/>
  <c r="BA14" i="5"/>
  <c r="BA13" i="5"/>
  <c r="BC11" i="5"/>
  <c r="AW18" i="5"/>
  <c r="AU18" i="5"/>
  <c r="AS18" i="5"/>
  <c r="AQ18" i="5"/>
  <c r="AO18" i="5"/>
  <c r="AM18" i="5"/>
  <c r="AK18" i="5"/>
  <c r="AI18" i="5"/>
  <c r="AG18" i="5"/>
  <c r="AE18" i="5"/>
  <c r="AA18" i="5"/>
  <c r="U18" i="5"/>
  <c r="S18" i="5"/>
  <c r="O18" i="5"/>
  <c r="G18" i="5"/>
  <c r="C18" i="5"/>
  <c r="BA12" i="5"/>
  <c r="BA11" i="5"/>
  <c r="AW35" i="4"/>
  <c r="AU35" i="4"/>
  <c r="AS35" i="4"/>
  <c r="AQ35" i="4"/>
  <c r="AO35" i="4"/>
  <c r="AM35" i="4"/>
  <c r="AK35" i="4"/>
  <c r="AG35" i="4"/>
  <c r="AE35" i="4"/>
  <c r="AA35" i="4"/>
  <c r="U35" i="4"/>
  <c r="S35" i="4"/>
  <c r="K34" i="4"/>
  <c r="E35" i="4"/>
  <c r="C35" i="4"/>
  <c r="BG28" i="4"/>
  <c r="AW34" i="4"/>
  <c r="AS34" i="4"/>
  <c r="AQ34" i="4"/>
  <c r="AO34" i="4"/>
  <c r="AM34" i="4"/>
  <c r="BA34" i="4"/>
  <c r="AY34" i="4"/>
  <c r="AK34" i="4"/>
  <c r="AI34" i="4"/>
  <c r="AG34" i="4"/>
  <c r="AE34" i="4"/>
  <c r="AA34" i="4"/>
  <c r="W34" i="4"/>
  <c r="U34" i="4"/>
  <c r="S34" i="4"/>
  <c r="M34" i="4"/>
  <c r="I34" i="4"/>
  <c r="G34" i="4"/>
  <c r="E34" i="4"/>
  <c r="C34" i="4"/>
  <c r="BE22" i="4"/>
  <c r="BE18" i="4"/>
  <c r="Q34" i="4"/>
  <c r="O34" i="4"/>
  <c r="BE15" i="4"/>
  <c r="BG11" i="4"/>
  <c r="BE11" i="4"/>
  <c r="AC35" i="4"/>
  <c r="Y35" i="4"/>
  <c r="W35" i="4"/>
  <c r="O35" i="4"/>
  <c r="M35" i="4"/>
  <c r="K35" i="4"/>
  <c r="I35" i="4"/>
  <c r="G35" i="4"/>
  <c r="BE14" i="3"/>
  <c r="AY20" i="3"/>
  <c r="AW20" i="3"/>
  <c r="AQ20" i="3"/>
  <c r="AG20" i="3"/>
  <c r="AE20" i="3"/>
  <c r="U20" i="3"/>
  <c r="S20" i="3"/>
  <c r="E20" i="3"/>
  <c r="C20" i="3"/>
  <c r="AY19" i="3"/>
  <c r="AW19" i="3"/>
  <c r="AQ19" i="3"/>
  <c r="AK19" i="3"/>
  <c r="AG19" i="3"/>
  <c r="AE19" i="3"/>
  <c r="W19" i="3"/>
  <c r="U19" i="3"/>
  <c r="M19" i="3"/>
  <c r="G19" i="3"/>
  <c r="E19" i="3"/>
  <c r="C19" i="3"/>
  <c r="AO36" i="2" l="1"/>
  <c r="AO35" i="2"/>
  <c r="AO34" i="2"/>
  <c r="AM36" i="2"/>
  <c r="AM35" i="2"/>
  <c r="AM34" i="2"/>
  <c r="C36" i="2"/>
  <c r="C35" i="2"/>
  <c r="C34" i="2"/>
  <c r="AQ13" i="21" l="1"/>
  <c r="AW23" i="14"/>
  <c r="AQ31" i="10"/>
  <c r="AY13" i="4"/>
  <c r="BW28" i="10"/>
  <c r="BW21" i="10"/>
  <c r="BU21" i="10"/>
  <c r="BI13" i="7"/>
  <c r="AS17" i="2"/>
  <c r="AQ17" i="2"/>
  <c r="AO17" i="2"/>
  <c r="AM17" i="2"/>
  <c r="AK15" i="16"/>
  <c r="AC11" i="3"/>
  <c r="AE11" i="21"/>
  <c r="G22" i="14"/>
  <c r="G29" i="10"/>
  <c r="O31" i="10"/>
  <c r="O14" i="23"/>
  <c r="M14" i="23"/>
  <c r="M21" i="4"/>
  <c r="M12" i="16"/>
  <c r="K12" i="16"/>
  <c r="AO31" i="2"/>
  <c r="AM31" i="2"/>
  <c r="AG31" i="2"/>
  <c r="AE31" i="2"/>
  <c r="BC15" i="4"/>
  <c r="E20" i="10"/>
  <c r="AS31" i="2"/>
  <c r="AQ31" i="2"/>
  <c r="AC31" i="2"/>
  <c r="AA31" i="2"/>
  <c r="Y31" i="2"/>
  <c r="W31" i="2"/>
  <c r="U31" i="2"/>
  <c r="S31" i="2"/>
  <c r="Q31" i="2"/>
  <c r="O31" i="2"/>
  <c r="M31" i="2"/>
  <c r="K31" i="2"/>
  <c r="I31" i="2"/>
  <c r="G31" i="2"/>
  <c r="E31" i="2"/>
  <c r="C31" i="2"/>
  <c r="BW15" i="15"/>
  <c r="BU15" i="15"/>
  <c r="BS15" i="15"/>
  <c r="BQ15" i="15"/>
  <c r="BO15" i="15"/>
  <c r="BM15" i="15"/>
  <c r="BK15" i="15"/>
  <c r="BI15" i="15"/>
  <c r="BG15" i="15"/>
  <c r="BE15" i="15"/>
  <c r="BC15" i="15"/>
  <c r="BA15" i="15"/>
  <c r="AY15" i="15"/>
  <c r="AQ15" i="15"/>
  <c r="AO15" i="15"/>
  <c r="AM15" i="15"/>
  <c r="AK15" i="15"/>
  <c r="AI15" i="15"/>
  <c r="AG15" i="15"/>
  <c r="AE15" i="15"/>
  <c r="AA15" i="15"/>
  <c r="W15" i="15"/>
  <c r="U15" i="15"/>
  <c r="S15" i="15"/>
  <c r="O15" i="15"/>
  <c r="M15" i="15"/>
  <c r="K15" i="15"/>
  <c r="G15" i="15"/>
  <c r="E15" i="15"/>
  <c r="C15" i="15"/>
  <c r="AU22" i="13"/>
  <c r="AS22" i="13"/>
  <c r="AQ22" i="13"/>
  <c r="AM22" i="13"/>
  <c r="AK22" i="13"/>
  <c r="AI22" i="13"/>
  <c r="AG22" i="13"/>
  <c r="AE22" i="13"/>
  <c r="AC22" i="13"/>
  <c r="AA22" i="13"/>
  <c r="Y22" i="13"/>
  <c r="W22" i="13"/>
  <c r="U22" i="13"/>
  <c r="S22" i="13"/>
  <c r="K22" i="13"/>
  <c r="I22" i="13"/>
  <c r="G22" i="13"/>
  <c r="E22" i="13"/>
  <c r="C22" i="13"/>
  <c r="AU20" i="13"/>
  <c r="AS20" i="13"/>
  <c r="AQ20" i="13"/>
  <c r="AM20" i="13"/>
  <c r="AK20" i="13"/>
  <c r="AI20" i="13"/>
  <c r="AG20" i="13"/>
  <c r="AE20" i="13"/>
  <c r="AA20" i="13"/>
  <c r="Y20" i="13"/>
  <c r="W20" i="13"/>
  <c r="U20" i="13"/>
  <c r="S20" i="13"/>
  <c r="I20" i="13"/>
  <c r="G20" i="13"/>
  <c r="E20" i="13"/>
  <c r="C20" i="13"/>
  <c r="AU18" i="13"/>
  <c r="AS18" i="13"/>
  <c r="AQ18" i="13"/>
  <c r="AM18" i="13"/>
  <c r="AK18" i="13"/>
  <c r="AI18" i="13"/>
  <c r="AG18" i="13"/>
  <c r="AE18" i="13"/>
  <c r="AA18" i="13"/>
  <c r="W18" i="13"/>
  <c r="U18" i="13"/>
  <c r="S18" i="13"/>
  <c r="O18" i="13"/>
  <c r="M18" i="13"/>
  <c r="K18" i="13"/>
  <c r="I18" i="13"/>
  <c r="G18" i="13"/>
  <c r="E18" i="13"/>
  <c r="C18" i="13"/>
  <c r="BC31" i="4"/>
  <c r="BA31" i="4"/>
  <c r="AY31" i="4"/>
  <c r="AW31" i="4"/>
  <c r="AU31" i="4"/>
  <c r="AS31" i="4"/>
  <c r="AQ31" i="4"/>
  <c r="AO31" i="4"/>
  <c r="AM31" i="4"/>
  <c r="AK31" i="4"/>
  <c r="AI31" i="4"/>
  <c r="AG31" i="4"/>
  <c r="AE31" i="4"/>
  <c r="U31" i="4"/>
  <c r="S31" i="4"/>
  <c r="E31" i="4"/>
  <c r="C31" i="4"/>
  <c r="BA12" i="25"/>
  <c r="AY12" i="25"/>
  <c r="AW12" i="25"/>
  <c r="AS12" i="25"/>
  <c r="AQ12" i="25"/>
  <c r="AM12" i="25"/>
  <c r="AK12" i="25"/>
  <c r="AI12" i="25"/>
  <c r="AG12" i="25"/>
  <c r="AE12" i="25"/>
  <c r="AC12" i="25"/>
  <c r="AA12" i="25"/>
  <c r="U12" i="25"/>
  <c r="S12" i="25"/>
  <c r="M12" i="25"/>
  <c r="I12" i="25"/>
  <c r="G12" i="25"/>
  <c r="E12" i="25"/>
  <c r="C12" i="25"/>
  <c r="BA11" i="25"/>
  <c r="AY11" i="25"/>
  <c r="AW11" i="25"/>
  <c r="AS11" i="25"/>
  <c r="AQ11" i="25"/>
  <c r="AM11" i="25"/>
  <c r="AK11" i="25"/>
  <c r="AI11" i="25"/>
  <c r="AG11" i="25"/>
  <c r="AE11" i="25"/>
  <c r="W11" i="25"/>
  <c r="U11" i="25"/>
  <c r="S11" i="25"/>
  <c r="G11" i="25"/>
  <c r="E11" i="25"/>
  <c r="C11" i="25"/>
  <c r="AC10" i="25"/>
  <c r="AK9" i="25"/>
  <c r="AI9" i="25"/>
  <c r="AG9" i="25"/>
  <c r="AE9" i="25"/>
  <c r="AC9" i="25"/>
  <c r="AA9" i="25"/>
  <c r="Y9" i="25"/>
  <c r="W9" i="25"/>
  <c r="U9" i="25"/>
  <c r="S9" i="25"/>
  <c r="Q9" i="25"/>
  <c r="O9" i="25"/>
  <c r="M9" i="25"/>
  <c r="K9" i="25"/>
  <c r="I9" i="25"/>
  <c r="G9" i="25"/>
  <c r="E9" i="25"/>
  <c r="C9" i="25"/>
  <c r="AK8" i="25"/>
  <c r="AI8" i="25"/>
  <c r="AG8" i="25"/>
  <c r="AE8" i="25"/>
  <c r="AC8" i="25"/>
  <c r="AA8" i="25"/>
  <c r="Y8" i="25"/>
  <c r="W8" i="25"/>
  <c r="U8" i="25"/>
  <c r="S8" i="25"/>
  <c r="Q8" i="25"/>
  <c r="O8" i="25"/>
  <c r="M8" i="25"/>
  <c r="K8" i="25"/>
  <c r="I8" i="25"/>
  <c r="G8" i="25"/>
  <c r="E8" i="25"/>
  <c r="C8" i="25"/>
  <c r="AK7" i="25"/>
  <c r="AI7" i="25"/>
  <c r="AG7" i="25"/>
  <c r="AE7" i="25"/>
  <c r="AC7" i="25"/>
  <c r="AA7" i="25"/>
  <c r="Y7" i="25"/>
  <c r="W7" i="25"/>
  <c r="U7" i="25"/>
  <c r="S7" i="25"/>
  <c r="Q7" i="25"/>
  <c r="O7" i="25"/>
  <c r="M7" i="25"/>
  <c r="K7" i="25"/>
  <c r="I7" i="25"/>
  <c r="G7" i="25"/>
  <c r="E7" i="25"/>
  <c r="C7" i="25"/>
  <c r="AK6" i="25"/>
  <c r="AC6" i="25"/>
  <c r="AK29" i="2"/>
  <c r="AI29" i="2"/>
  <c r="AS29" i="2"/>
  <c r="AQ29" i="2"/>
  <c r="AG29" i="2"/>
  <c r="AE29" i="2"/>
  <c r="AC29" i="2"/>
  <c r="AA29" i="2"/>
  <c r="Y29" i="2"/>
  <c r="W29" i="2"/>
  <c r="U29" i="2"/>
  <c r="S29" i="2"/>
  <c r="K29" i="2"/>
  <c r="I29" i="2"/>
  <c r="G29" i="2"/>
  <c r="E29" i="2"/>
  <c r="C29" i="2"/>
  <c r="AS30" i="2"/>
  <c r="AQ30" i="2"/>
  <c r="AK30" i="2"/>
  <c r="AI30" i="2"/>
  <c r="AG30" i="2"/>
  <c r="AE30" i="2"/>
  <c r="AC30" i="2"/>
  <c r="AA30" i="2"/>
  <c r="Y30" i="2"/>
  <c r="W30" i="2"/>
  <c r="U30" i="2"/>
  <c r="S30" i="2"/>
  <c r="Q30" i="2"/>
  <c r="O30" i="2"/>
  <c r="M30" i="2"/>
  <c r="K30" i="2"/>
  <c r="I30" i="2"/>
  <c r="G30" i="2"/>
  <c r="E30" i="2"/>
  <c r="C30" i="2"/>
  <c r="AQ15" i="24"/>
  <c r="AO15" i="24"/>
  <c r="AM15" i="24"/>
  <c r="AK15" i="24"/>
  <c r="AI15" i="24"/>
  <c r="AG15" i="24"/>
  <c r="AE15" i="24"/>
  <c r="Y15" i="24"/>
  <c r="W15" i="24"/>
  <c r="U15" i="24"/>
  <c r="S15" i="24"/>
  <c r="M15" i="24"/>
  <c r="K15" i="24"/>
  <c r="G15" i="24"/>
  <c r="E15" i="24"/>
  <c r="C15" i="24"/>
  <c r="AQ14" i="24"/>
  <c r="AO14" i="24"/>
  <c r="AM14" i="24"/>
  <c r="AK14" i="24"/>
  <c r="AI14" i="24"/>
  <c r="AG14" i="24"/>
  <c r="AE14" i="24"/>
  <c r="AC14" i="24"/>
  <c r="AA14" i="24"/>
  <c r="U14" i="24"/>
  <c r="S14" i="24"/>
  <c r="G14" i="24"/>
  <c r="E14" i="24"/>
  <c r="C14" i="24"/>
  <c r="AQ13" i="24"/>
  <c r="AO13" i="24"/>
  <c r="AM13" i="24"/>
  <c r="AK13" i="24"/>
  <c r="AI13" i="24"/>
  <c r="AG13" i="24"/>
  <c r="AE13" i="24"/>
  <c r="AC13" i="24"/>
  <c r="AA13" i="24"/>
  <c r="W13" i="24"/>
  <c r="U13" i="24"/>
  <c r="S13" i="24"/>
  <c r="U12" i="24"/>
  <c r="I13" i="24"/>
  <c r="G13" i="24"/>
  <c r="E13" i="24"/>
  <c r="C13" i="24"/>
  <c r="AQ12" i="24"/>
  <c r="AO12" i="24"/>
  <c r="AM12" i="24"/>
  <c r="AK12" i="24"/>
  <c r="AI12" i="24"/>
  <c r="AG12" i="24"/>
  <c r="AE12" i="24"/>
  <c r="W12" i="24"/>
  <c r="S12" i="24"/>
  <c r="O12" i="24"/>
  <c r="M12" i="24"/>
  <c r="K12" i="24"/>
  <c r="G12" i="24"/>
  <c r="E12" i="24"/>
  <c r="C12" i="24"/>
  <c r="AQ11" i="24"/>
  <c r="AO11" i="24"/>
  <c r="AM11" i="24"/>
  <c r="AK11" i="24"/>
  <c r="AI11" i="24"/>
  <c r="AG11" i="24"/>
  <c r="AE11" i="24"/>
  <c r="AC11" i="24"/>
  <c r="W11" i="24"/>
  <c r="U11" i="24"/>
  <c r="S11" i="24"/>
  <c r="M11" i="24"/>
  <c r="K11" i="24"/>
  <c r="G11" i="24"/>
  <c r="E11" i="24"/>
  <c r="C11" i="24"/>
  <c r="AC10" i="24"/>
  <c r="AK9" i="24"/>
  <c r="AI9" i="24"/>
  <c r="AG9" i="24"/>
  <c r="AE9" i="24"/>
  <c r="AC9" i="24"/>
  <c r="AA9" i="24"/>
  <c r="Y9" i="24"/>
  <c r="W9" i="24"/>
  <c r="U9" i="24"/>
  <c r="S9" i="24"/>
  <c r="Q9" i="24"/>
  <c r="O9" i="24"/>
  <c r="M9" i="24"/>
  <c r="K9" i="24"/>
  <c r="I9" i="24"/>
  <c r="G9" i="24"/>
  <c r="E9" i="24"/>
  <c r="C9" i="24"/>
  <c r="AK8" i="24"/>
  <c r="AI8" i="24"/>
  <c r="AG8" i="24"/>
  <c r="AE8" i="24"/>
  <c r="AC8" i="24"/>
  <c r="AA8" i="24"/>
  <c r="Y8" i="24"/>
  <c r="W8" i="24"/>
  <c r="U8" i="24"/>
  <c r="S8" i="24"/>
  <c r="Q8" i="24"/>
  <c r="O8" i="24"/>
  <c r="M8" i="24"/>
  <c r="K8" i="24"/>
  <c r="I8" i="24"/>
  <c r="G8" i="24"/>
  <c r="E8" i="24"/>
  <c r="C8" i="24"/>
  <c r="AK7" i="24"/>
  <c r="AI7" i="24"/>
  <c r="AG7" i="24"/>
  <c r="AE7" i="24"/>
  <c r="AC7" i="24"/>
  <c r="AA7" i="24"/>
  <c r="Y7" i="24"/>
  <c r="W7" i="24"/>
  <c r="U7" i="24"/>
  <c r="S7" i="24"/>
  <c r="Q7" i="24"/>
  <c r="O7" i="24"/>
  <c r="M7" i="24"/>
  <c r="K7" i="24"/>
  <c r="I7" i="24"/>
  <c r="G7" i="24"/>
  <c r="E7" i="24"/>
  <c r="C7" i="24"/>
  <c r="AC6" i="24"/>
  <c r="BS18" i="23"/>
  <c r="BK18" i="23"/>
  <c r="BI18" i="23"/>
  <c r="AU18" i="23"/>
  <c r="AQ18" i="23"/>
  <c r="AK18" i="23"/>
  <c r="AI18" i="23"/>
  <c r="AG18" i="23"/>
  <c r="AE18" i="23"/>
  <c r="Y18" i="23"/>
  <c r="W18" i="23"/>
  <c r="U18" i="23"/>
  <c r="S18" i="23"/>
  <c r="M18" i="23"/>
  <c r="K18" i="23"/>
  <c r="I18" i="23"/>
  <c r="G18" i="23"/>
  <c r="E18" i="23"/>
  <c r="C18" i="23"/>
  <c r="BS17" i="23"/>
  <c r="BK17" i="23"/>
  <c r="BI17" i="23"/>
  <c r="AU17" i="23"/>
  <c r="AQ17" i="23"/>
  <c r="AK17" i="23"/>
  <c r="AI17" i="23"/>
  <c r="AG17" i="23"/>
  <c r="AE17" i="23"/>
  <c r="Y17" i="23"/>
  <c r="U17" i="23"/>
  <c r="S17" i="23"/>
  <c r="I17" i="23"/>
  <c r="G17" i="23"/>
  <c r="E17" i="23"/>
  <c r="C17" i="23"/>
  <c r="BS16" i="23"/>
  <c r="BK16" i="23"/>
  <c r="BI16" i="23"/>
  <c r="AU16" i="23"/>
  <c r="AQ16" i="23"/>
  <c r="AK16" i="23"/>
  <c r="AI16" i="23"/>
  <c r="AG16" i="23"/>
  <c r="AE16" i="23"/>
  <c r="U16" i="23"/>
  <c r="S16" i="23"/>
  <c r="M16" i="23"/>
  <c r="I16" i="23"/>
  <c r="G16" i="23"/>
  <c r="E16" i="23"/>
  <c r="C16" i="23"/>
  <c r="BS15" i="23"/>
  <c r="BK15" i="23"/>
  <c r="BI15" i="23"/>
  <c r="AU15" i="23"/>
  <c r="AQ15" i="23"/>
  <c r="AK15" i="23"/>
  <c r="AI15" i="23"/>
  <c r="AG15" i="23"/>
  <c r="AE15" i="23"/>
  <c r="W15" i="23"/>
  <c r="U15" i="23"/>
  <c r="S15" i="23"/>
  <c r="M15" i="23"/>
  <c r="E15" i="23"/>
  <c r="C15" i="23"/>
  <c r="BS14" i="23"/>
  <c r="BK14" i="23"/>
  <c r="BI14" i="23"/>
  <c r="AU14" i="23"/>
  <c r="AM14" i="23"/>
  <c r="AK14" i="23"/>
  <c r="AI14" i="23"/>
  <c r="AG14" i="23"/>
  <c r="AE14" i="23"/>
  <c r="U14" i="23"/>
  <c r="S14" i="23"/>
  <c r="G14" i="23"/>
  <c r="E14" i="23"/>
  <c r="C14" i="23"/>
  <c r="BS13" i="23"/>
  <c r="BK13" i="23"/>
  <c r="BI13" i="23"/>
  <c r="AU13" i="23"/>
  <c r="AM13" i="23"/>
  <c r="AK13" i="23"/>
  <c r="AI13" i="23"/>
  <c r="AG13" i="23"/>
  <c r="AE13" i="23"/>
  <c r="U13" i="23"/>
  <c r="S13" i="23"/>
  <c r="M13" i="23"/>
  <c r="G13" i="23"/>
  <c r="E13" i="23"/>
  <c r="C13" i="23"/>
  <c r="BS12" i="23"/>
  <c r="BK12" i="23"/>
  <c r="BI12" i="23"/>
  <c r="AU12" i="23"/>
  <c r="AM12" i="23"/>
  <c r="AK12" i="23"/>
  <c r="AI12" i="23"/>
  <c r="AG12" i="23"/>
  <c r="AE12" i="23"/>
  <c r="AC12" i="23"/>
  <c r="Y12" i="23"/>
  <c r="W12" i="23"/>
  <c r="U12" i="23"/>
  <c r="S12" i="23"/>
  <c r="O12" i="23"/>
  <c r="M12" i="23"/>
  <c r="G12" i="23"/>
  <c r="E12" i="23"/>
  <c r="C12" i="23"/>
  <c r="BS11" i="23"/>
  <c r="BK11" i="23"/>
  <c r="BI11" i="23"/>
  <c r="AU11" i="23"/>
  <c r="AM11" i="23"/>
  <c r="AK11" i="23"/>
  <c r="AI11" i="23"/>
  <c r="AG11" i="23"/>
  <c r="AE11" i="23"/>
  <c r="AA11" i="23"/>
  <c r="W11" i="23"/>
  <c r="U11" i="23"/>
  <c r="S11" i="23"/>
  <c r="O11" i="23"/>
  <c r="M11" i="23"/>
  <c r="K11" i="23"/>
  <c r="I11" i="23"/>
  <c r="E11" i="23"/>
  <c r="C11" i="23"/>
  <c r="AC10" i="23"/>
  <c r="AK9" i="23"/>
  <c r="AI9" i="23"/>
  <c r="AG9" i="23"/>
  <c r="AE9" i="23"/>
  <c r="AC9" i="23"/>
  <c r="AA9" i="23"/>
  <c r="Y9" i="23"/>
  <c r="W9" i="23"/>
  <c r="U9" i="23"/>
  <c r="S9" i="23"/>
  <c r="Q9" i="23"/>
  <c r="O9" i="23"/>
  <c r="M9" i="23"/>
  <c r="K9" i="23"/>
  <c r="I9" i="23"/>
  <c r="G9" i="23"/>
  <c r="E9" i="23"/>
  <c r="C9" i="23"/>
  <c r="AK8" i="23"/>
  <c r="AI8" i="23"/>
  <c r="AG8" i="23"/>
  <c r="AE8" i="23"/>
  <c r="AC8" i="23"/>
  <c r="AA8" i="23"/>
  <c r="Y8" i="23"/>
  <c r="W8" i="23"/>
  <c r="U8" i="23"/>
  <c r="S8" i="23"/>
  <c r="Q8" i="23"/>
  <c r="O8" i="23"/>
  <c r="M8" i="23"/>
  <c r="K8" i="23"/>
  <c r="I8" i="23"/>
  <c r="G8" i="23"/>
  <c r="E8" i="23"/>
  <c r="C8" i="23"/>
  <c r="AK7" i="23"/>
  <c r="AI7" i="23"/>
  <c r="AG7" i="23"/>
  <c r="AE7" i="23"/>
  <c r="AC7" i="23"/>
  <c r="AA7" i="23"/>
  <c r="Y7" i="23"/>
  <c r="W7" i="23"/>
  <c r="U7" i="23"/>
  <c r="S7" i="23"/>
  <c r="Q7" i="23"/>
  <c r="O7" i="23"/>
  <c r="M7" i="23"/>
  <c r="K7" i="23"/>
  <c r="I7" i="23"/>
  <c r="G7" i="23"/>
  <c r="E7" i="23"/>
  <c r="C7" i="23"/>
  <c r="AC6" i="23"/>
  <c r="AS28" i="2"/>
  <c r="AQ28" i="2"/>
  <c r="AG28" i="2"/>
  <c r="AE28" i="2"/>
  <c r="AC28" i="2"/>
  <c r="AA28" i="2"/>
  <c r="Y28" i="2"/>
  <c r="W28" i="2"/>
  <c r="U28" i="2"/>
  <c r="S28" i="2"/>
  <c r="Q28" i="2"/>
  <c r="O28" i="2"/>
  <c r="M28" i="2"/>
  <c r="K28" i="2"/>
  <c r="I28" i="2"/>
  <c r="G28" i="2"/>
  <c r="E28" i="2"/>
  <c r="C28" i="2"/>
  <c r="BA12" i="22"/>
  <c r="AY12" i="22"/>
  <c r="AW12" i="22"/>
  <c r="AS12" i="22"/>
  <c r="AG12" i="22"/>
  <c r="AE12" i="22"/>
  <c r="AA12" i="22"/>
  <c r="U12" i="22"/>
  <c r="S12" i="22"/>
  <c r="M12" i="22"/>
  <c r="E12" i="22"/>
  <c r="C12" i="22"/>
  <c r="BA11" i="22"/>
  <c r="AY11" i="22"/>
  <c r="AW11" i="22"/>
  <c r="AQ11" i="22"/>
  <c r="AI11" i="22"/>
  <c r="AG11" i="22"/>
  <c r="AE11" i="22"/>
  <c r="U11" i="22"/>
  <c r="S11" i="22"/>
  <c r="I11" i="22"/>
  <c r="G11" i="22"/>
  <c r="E11" i="22"/>
  <c r="C11" i="22"/>
  <c r="AC10" i="22"/>
  <c r="AG9" i="22"/>
  <c r="AE9" i="22"/>
  <c r="AC9" i="22"/>
  <c r="AA9" i="22"/>
  <c r="Y9" i="22"/>
  <c r="W9" i="22"/>
  <c r="U9" i="22"/>
  <c r="S9" i="22"/>
  <c r="Q9" i="22"/>
  <c r="O9" i="22"/>
  <c r="M9" i="22"/>
  <c r="K9" i="22"/>
  <c r="I9" i="22"/>
  <c r="G9" i="22"/>
  <c r="E9" i="22"/>
  <c r="C9" i="22"/>
  <c r="AG8" i="22"/>
  <c r="AE8" i="22"/>
  <c r="AC8" i="22"/>
  <c r="AA8" i="22"/>
  <c r="Y8" i="22"/>
  <c r="W8" i="22"/>
  <c r="U8" i="22"/>
  <c r="S8" i="22"/>
  <c r="Q8" i="22"/>
  <c r="O8" i="22"/>
  <c r="M8" i="22"/>
  <c r="K8" i="22"/>
  <c r="I8" i="22"/>
  <c r="G8" i="22"/>
  <c r="E8" i="22"/>
  <c r="C8" i="22"/>
  <c r="AG7" i="22"/>
  <c r="AE7" i="22"/>
  <c r="AC7" i="22"/>
  <c r="AA7" i="22"/>
  <c r="Y7" i="22"/>
  <c r="W7" i="22"/>
  <c r="U7" i="22"/>
  <c r="S7" i="22"/>
  <c r="Q7" i="22"/>
  <c r="O7" i="22"/>
  <c r="M7" i="22"/>
  <c r="K7" i="22"/>
  <c r="I7" i="22"/>
  <c r="G7" i="22"/>
  <c r="E7" i="22"/>
  <c r="C7" i="22"/>
  <c r="AC6" i="22"/>
  <c r="AS27" i="2"/>
  <c r="AQ27" i="2"/>
  <c r="AG27" i="2"/>
  <c r="AC27" i="2"/>
  <c r="AA27" i="2"/>
  <c r="Y27" i="2"/>
  <c r="W27" i="2"/>
  <c r="U27" i="2"/>
  <c r="S27" i="2"/>
  <c r="Q27" i="2"/>
  <c r="O27" i="2"/>
  <c r="M27" i="2"/>
  <c r="K27" i="2"/>
  <c r="I27" i="2"/>
  <c r="G27" i="2"/>
  <c r="E27" i="2"/>
  <c r="C27" i="2"/>
  <c r="BM18" i="21"/>
  <c r="BK18" i="21"/>
  <c r="BI18" i="21"/>
  <c r="BG18" i="21"/>
  <c r="BE18" i="21"/>
  <c r="BC18" i="21"/>
  <c r="BA18" i="21"/>
  <c r="AY18" i="21"/>
  <c r="AW18" i="21"/>
  <c r="AU18" i="21"/>
  <c r="AS18" i="21"/>
  <c r="AQ18" i="21"/>
  <c r="AO18" i="21"/>
  <c r="AG18" i="21"/>
  <c r="AE18" i="21"/>
  <c r="AC18" i="21"/>
  <c r="Y18" i="21"/>
  <c r="W18" i="21"/>
  <c r="U18" i="21"/>
  <c r="S18" i="21"/>
  <c r="Q18" i="21"/>
  <c r="I18" i="21"/>
  <c r="G18" i="21"/>
  <c r="E18" i="21"/>
  <c r="C18" i="21"/>
  <c r="BM17" i="21"/>
  <c r="BK17" i="21"/>
  <c r="BI17" i="21"/>
  <c r="BG17" i="21"/>
  <c r="BE17" i="21"/>
  <c r="BC17" i="21"/>
  <c r="BA17" i="21"/>
  <c r="AY17" i="21"/>
  <c r="AW17" i="21"/>
  <c r="AU17" i="21"/>
  <c r="AS17" i="21"/>
  <c r="AQ17" i="21"/>
  <c r="AO17" i="21"/>
  <c r="AG17" i="21"/>
  <c r="AE17" i="21"/>
  <c r="AC17" i="21"/>
  <c r="Y17" i="21"/>
  <c r="W17" i="21"/>
  <c r="U17" i="21"/>
  <c r="S17" i="21"/>
  <c r="Q17" i="21"/>
  <c r="K17" i="21"/>
  <c r="I17" i="21"/>
  <c r="G17" i="21"/>
  <c r="E17" i="21"/>
  <c r="C17" i="21"/>
  <c r="BM16" i="21"/>
  <c r="BK16" i="21"/>
  <c r="BI16" i="21"/>
  <c r="BG16" i="21"/>
  <c r="BE16" i="21"/>
  <c r="BC16" i="21"/>
  <c r="BA16" i="21"/>
  <c r="AY16" i="21"/>
  <c r="AW16" i="21"/>
  <c r="AU16" i="21"/>
  <c r="AS16" i="21"/>
  <c r="AQ16" i="21"/>
  <c r="AO16" i="21"/>
  <c r="AG16" i="21"/>
  <c r="AE16" i="21"/>
  <c r="AC16" i="21"/>
  <c r="Y16" i="21"/>
  <c r="W16" i="21"/>
  <c r="U16" i="21"/>
  <c r="S16" i="21"/>
  <c r="I16" i="21"/>
  <c r="G16" i="21"/>
  <c r="E16" i="21"/>
  <c r="C16" i="21"/>
  <c r="BM15" i="21"/>
  <c r="BK15" i="21"/>
  <c r="BI15" i="21"/>
  <c r="BG15" i="21"/>
  <c r="BE15" i="21"/>
  <c r="BC15" i="21"/>
  <c r="BA15" i="21"/>
  <c r="AY15" i="21"/>
  <c r="AW15" i="21"/>
  <c r="AU15" i="21"/>
  <c r="AS15" i="21"/>
  <c r="AQ15" i="21"/>
  <c r="AO15" i="21"/>
  <c r="AG15" i="21"/>
  <c r="AE15" i="21"/>
  <c r="AC15" i="21"/>
  <c r="Y15" i="21"/>
  <c r="W15" i="21"/>
  <c r="U15" i="21"/>
  <c r="S15" i="21"/>
  <c r="I15" i="21"/>
  <c r="G15" i="21"/>
  <c r="E15" i="21"/>
  <c r="C15" i="21"/>
  <c r="BM14" i="21"/>
  <c r="BK14" i="21"/>
  <c r="BI14" i="21"/>
  <c r="BG14" i="21"/>
  <c r="BE14" i="21"/>
  <c r="BC14" i="21"/>
  <c r="BA14" i="21"/>
  <c r="AY14" i="21"/>
  <c r="AW14" i="21"/>
  <c r="AU14" i="21"/>
  <c r="AS14" i="21"/>
  <c r="AQ14" i="21"/>
  <c r="AK14" i="21"/>
  <c r="AG14" i="21"/>
  <c r="AE14" i="21"/>
  <c r="AC14" i="21"/>
  <c r="Y14" i="21"/>
  <c r="W14" i="21"/>
  <c r="U14" i="21"/>
  <c r="S14" i="21"/>
  <c r="I14" i="21"/>
  <c r="G14" i="21"/>
  <c r="E14" i="21"/>
  <c r="C14" i="21"/>
  <c r="BM13" i="21"/>
  <c r="BK13" i="21"/>
  <c r="BI13" i="21"/>
  <c r="BG13" i="21"/>
  <c r="BE13" i="21"/>
  <c r="BC13" i="21"/>
  <c r="BA13" i="21"/>
  <c r="AY13" i="21"/>
  <c r="AW13" i="21"/>
  <c r="AU13" i="21"/>
  <c r="AS13" i="21"/>
  <c r="AK13" i="21"/>
  <c r="AG13" i="21"/>
  <c r="AE13" i="21"/>
  <c r="W13" i="21"/>
  <c r="U13" i="21"/>
  <c r="S13" i="21"/>
  <c r="K13" i="21"/>
  <c r="I13" i="21"/>
  <c r="G13" i="21"/>
  <c r="E13" i="21"/>
  <c r="C13" i="21"/>
  <c r="BM12" i="21"/>
  <c r="BK12" i="21"/>
  <c r="BI12" i="21"/>
  <c r="BG12" i="21"/>
  <c r="BE12" i="21"/>
  <c r="BC12" i="21"/>
  <c r="BA12" i="21"/>
  <c r="AY12" i="21"/>
  <c r="AW12" i="21"/>
  <c r="AU12" i="21"/>
  <c r="AS12" i="21"/>
  <c r="AQ12" i="21"/>
  <c r="AK12" i="21"/>
  <c r="AG12" i="21"/>
  <c r="AE12" i="21"/>
  <c r="AC12" i="21"/>
  <c r="Y12" i="21"/>
  <c r="W12" i="21"/>
  <c r="U12" i="21"/>
  <c r="S12" i="21"/>
  <c r="Q12" i="21"/>
  <c r="M12" i="21"/>
  <c r="K12" i="21"/>
  <c r="I12" i="21"/>
  <c r="G12" i="21"/>
  <c r="E12" i="21"/>
  <c r="C12" i="21"/>
  <c r="BM11" i="21"/>
  <c r="BK11" i="21"/>
  <c r="BI11" i="21"/>
  <c r="BG11" i="21"/>
  <c r="BE11" i="21"/>
  <c r="BC11" i="21"/>
  <c r="BA11" i="21"/>
  <c r="AY11" i="21"/>
  <c r="AW11" i="21"/>
  <c r="AU11" i="21"/>
  <c r="AS11" i="21"/>
  <c r="AQ11" i="21"/>
  <c r="AK11" i="21"/>
  <c r="AG11" i="21"/>
  <c r="AC11" i="21"/>
  <c r="AA11" i="21"/>
  <c r="Y11" i="21"/>
  <c r="W11" i="21"/>
  <c r="U11" i="21"/>
  <c r="S11" i="21"/>
  <c r="K11" i="21"/>
  <c r="G11" i="21"/>
  <c r="E11" i="21"/>
  <c r="C11" i="21"/>
  <c r="AC10" i="21"/>
  <c r="AG9" i="21"/>
  <c r="AE9" i="21"/>
  <c r="AC9" i="21"/>
  <c r="AA9" i="21"/>
  <c r="Y9" i="21"/>
  <c r="W9" i="21"/>
  <c r="U9" i="21"/>
  <c r="S9" i="21"/>
  <c r="Q9" i="21"/>
  <c r="O9" i="21"/>
  <c r="M9" i="21"/>
  <c r="K9" i="21"/>
  <c r="I9" i="21"/>
  <c r="G9" i="21"/>
  <c r="E9" i="21"/>
  <c r="C9" i="21"/>
  <c r="AG8" i="21"/>
  <c r="AE8" i="21"/>
  <c r="AC8" i="21"/>
  <c r="AA8" i="21"/>
  <c r="Y8" i="21"/>
  <c r="W8" i="21"/>
  <c r="U8" i="21"/>
  <c r="S8" i="21"/>
  <c r="Q8" i="21"/>
  <c r="O8" i="21"/>
  <c r="M8" i="21"/>
  <c r="K8" i="21"/>
  <c r="I8" i="21"/>
  <c r="G8" i="21"/>
  <c r="E8" i="21"/>
  <c r="C8" i="21"/>
  <c r="AG7" i="21"/>
  <c r="AE7" i="21"/>
  <c r="AC7" i="21"/>
  <c r="AA7" i="21"/>
  <c r="Y7" i="21"/>
  <c r="W7" i="21"/>
  <c r="U7" i="21"/>
  <c r="S7" i="21"/>
  <c r="Q7" i="21"/>
  <c r="O7" i="21"/>
  <c r="M7" i="21"/>
  <c r="K7" i="21"/>
  <c r="I7" i="21"/>
  <c r="G7" i="21"/>
  <c r="E7" i="21"/>
  <c r="C7" i="21"/>
  <c r="AC6" i="21"/>
  <c r="AS26" i="2"/>
  <c r="AQ26" i="2"/>
  <c r="AK26" i="2"/>
  <c r="AI26" i="2"/>
  <c r="AG26" i="2"/>
  <c r="AE26" i="2"/>
  <c r="AC26" i="2"/>
  <c r="AA26" i="2"/>
  <c r="Y26" i="2"/>
  <c r="W26" i="2"/>
  <c r="U26" i="2"/>
  <c r="S26" i="2"/>
  <c r="K26" i="2"/>
  <c r="I26" i="2"/>
  <c r="G26" i="2"/>
  <c r="E26" i="2"/>
  <c r="C26" i="2"/>
  <c r="BE18" i="20"/>
  <c r="BC18" i="20"/>
  <c r="BA18" i="20"/>
  <c r="AY18" i="20"/>
  <c r="AW18" i="20"/>
  <c r="AU18" i="20"/>
  <c r="AS18" i="20"/>
  <c r="AK18" i="20"/>
  <c r="AI18" i="20"/>
  <c r="AG18" i="20"/>
  <c r="AE18" i="20"/>
  <c r="W18" i="20"/>
  <c r="U18" i="20"/>
  <c r="S18" i="20"/>
  <c r="M18" i="20"/>
  <c r="K18" i="20"/>
  <c r="G18" i="20"/>
  <c r="E18" i="20"/>
  <c r="C18" i="20"/>
  <c r="BE17" i="20"/>
  <c r="BC17" i="20"/>
  <c r="BA17" i="20"/>
  <c r="AY17" i="20"/>
  <c r="AW17" i="20"/>
  <c r="AU17" i="20"/>
  <c r="AS17" i="20"/>
  <c r="AK17" i="20"/>
  <c r="AI17" i="20"/>
  <c r="AG17" i="20"/>
  <c r="AE17" i="20"/>
  <c r="AA17" i="20"/>
  <c r="W17" i="20"/>
  <c r="U17" i="20"/>
  <c r="S17" i="20"/>
  <c r="G17" i="20"/>
  <c r="E17" i="20"/>
  <c r="C17" i="20"/>
  <c r="BE16" i="20"/>
  <c r="BC16" i="20"/>
  <c r="BA16" i="20"/>
  <c r="AY16" i="20"/>
  <c r="AW16" i="20"/>
  <c r="AU16" i="20"/>
  <c r="AS16" i="20"/>
  <c r="AK16" i="20"/>
  <c r="AI16" i="20"/>
  <c r="AG16" i="20"/>
  <c r="AE16" i="20"/>
  <c r="AC16" i="20"/>
  <c r="U16" i="20"/>
  <c r="S16" i="20"/>
  <c r="M16" i="20"/>
  <c r="K16" i="20"/>
  <c r="I16" i="20"/>
  <c r="G16" i="20"/>
  <c r="E16" i="20"/>
  <c r="C16" i="20"/>
  <c r="BE15" i="20"/>
  <c r="BC15" i="20"/>
  <c r="BA15" i="20"/>
  <c r="AY15" i="20"/>
  <c r="AW15" i="20"/>
  <c r="AU15" i="20"/>
  <c r="AS15" i="20"/>
  <c r="AK15" i="20"/>
  <c r="AI15" i="20"/>
  <c r="AG15" i="20"/>
  <c r="AE15" i="20"/>
  <c r="AA15" i="20"/>
  <c r="U15" i="20"/>
  <c r="S15" i="20"/>
  <c r="M15" i="20"/>
  <c r="K15" i="20"/>
  <c r="E15" i="20"/>
  <c r="C15" i="20"/>
  <c r="BE14" i="20"/>
  <c r="BC14" i="20"/>
  <c r="BA14" i="20"/>
  <c r="AY14" i="20"/>
  <c r="AW14" i="20"/>
  <c r="AU14" i="20"/>
  <c r="AO14" i="20"/>
  <c r="AM14" i="20"/>
  <c r="AK14" i="20"/>
  <c r="AI14" i="20"/>
  <c r="AG14" i="20"/>
  <c r="AE14" i="20"/>
  <c r="AC14" i="20"/>
  <c r="AA14" i="20"/>
  <c r="U14" i="20"/>
  <c r="S14" i="20"/>
  <c r="O14" i="20"/>
  <c r="M14" i="20"/>
  <c r="G14" i="20"/>
  <c r="E14" i="20"/>
  <c r="C14" i="20"/>
  <c r="BE13" i="20"/>
  <c r="BC13" i="20"/>
  <c r="BA13" i="20"/>
  <c r="AY13" i="20"/>
  <c r="AW13" i="20"/>
  <c r="AU13" i="20"/>
  <c r="AO13" i="20"/>
  <c r="AM13" i="20"/>
  <c r="AK13" i="20"/>
  <c r="AI13" i="20"/>
  <c r="AG13" i="20"/>
  <c r="AE13" i="20"/>
  <c r="AC13" i="20"/>
  <c r="AA13" i="20"/>
  <c r="W13" i="20"/>
  <c r="U13" i="20"/>
  <c r="S13" i="20"/>
  <c r="M13" i="20"/>
  <c r="K13" i="20"/>
  <c r="G13" i="20"/>
  <c r="E13" i="20"/>
  <c r="C13" i="20"/>
  <c r="BE12" i="20"/>
  <c r="BC12" i="20"/>
  <c r="BA12" i="20"/>
  <c r="AY12" i="20"/>
  <c r="AW12" i="20"/>
  <c r="AU12" i="20"/>
  <c r="AO12" i="20"/>
  <c r="AM12" i="20"/>
  <c r="AK12" i="20"/>
  <c r="AI12" i="20"/>
  <c r="AG12" i="20"/>
  <c r="AE12" i="20"/>
  <c r="AA12" i="20"/>
  <c r="U12" i="20"/>
  <c r="S12" i="20"/>
  <c r="K12" i="20"/>
  <c r="G12" i="20"/>
  <c r="E12" i="20"/>
  <c r="C12" i="20"/>
  <c r="BE11" i="20"/>
  <c r="BC11" i="20"/>
  <c r="BA11" i="20"/>
  <c r="AY11" i="20"/>
  <c r="AW11" i="20"/>
  <c r="AU11" i="20"/>
  <c r="AO11" i="20"/>
  <c r="AM11" i="20"/>
  <c r="AK11" i="20"/>
  <c r="AI11" i="20"/>
  <c r="AG11" i="20"/>
  <c r="AE11" i="20"/>
  <c r="U11" i="20"/>
  <c r="S11" i="20"/>
  <c r="E11" i="20"/>
  <c r="C11" i="20"/>
  <c r="AC10" i="20"/>
  <c r="AK9" i="20"/>
  <c r="AI9" i="20"/>
  <c r="AG9" i="20"/>
  <c r="AE9" i="20"/>
  <c r="AC9" i="20"/>
  <c r="AA9" i="20"/>
  <c r="Y9" i="20"/>
  <c r="W9" i="20"/>
  <c r="U9" i="20"/>
  <c r="S9" i="20"/>
  <c r="Q9" i="20"/>
  <c r="O9" i="20"/>
  <c r="M9" i="20"/>
  <c r="K9" i="20"/>
  <c r="I9" i="20"/>
  <c r="G9" i="20"/>
  <c r="E9" i="20"/>
  <c r="C9" i="20"/>
  <c r="AK8" i="20"/>
  <c r="AI8" i="20"/>
  <c r="AG8" i="20"/>
  <c r="AE8" i="20"/>
  <c r="AC8" i="20"/>
  <c r="AA8" i="20"/>
  <c r="Y8" i="20"/>
  <c r="W8" i="20"/>
  <c r="U8" i="20"/>
  <c r="S8" i="20"/>
  <c r="Q8" i="20"/>
  <c r="O8" i="20"/>
  <c r="M8" i="20"/>
  <c r="K8" i="20"/>
  <c r="I8" i="20"/>
  <c r="G8" i="20"/>
  <c r="E8" i="20"/>
  <c r="C8" i="20"/>
  <c r="AK7" i="20"/>
  <c r="AI7" i="20"/>
  <c r="AG7" i="20"/>
  <c r="AE7" i="20"/>
  <c r="AC7" i="20"/>
  <c r="AA7" i="20"/>
  <c r="Y7" i="20"/>
  <c r="W7" i="20"/>
  <c r="U7" i="20"/>
  <c r="S7" i="20"/>
  <c r="Q7" i="20"/>
  <c r="O7" i="20"/>
  <c r="M7" i="20"/>
  <c r="K7" i="20"/>
  <c r="I7" i="20"/>
  <c r="G7" i="20"/>
  <c r="E7" i="20"/>
  <c r="C7" i="20"/>
  <c r="AC6" i="20"/>
  <c r="AS25" i="2"/>
  <c r="AQ25" i="2"/>
  <c r="AO25" i="2"/>
  <c r="AM25" i="2"/>
  <c r="AG25" i="2"/>
  <c r="AE25" i="2"/>
  <c r="AC25" i="2"/>
  <c r="AA25" i="2"/>
  <c r="Y25" i="2"/>
  <c r="W25" i="2"/>
  <c r="U25" i="2"/>
  <c r="S25" i="2"/>
  <c r="Q25" i="2"/>
  <c r="O25" i="2"/>
  <c r="M25" i="2"/>
  <c r="K25" i="2"/>
  <c r="I25" i="2"/>
  <c r="G25" i="2"/>
  <c r="E25" i="2"/>
  <c r="C25" i="2"/>
  <c r="BG13" i="19"/>
  <c r="BE13" i="19"/>
  <c r="BC13" i="19"/>
  <c r="BA13" i="19"/>
  <c r="AY13" i="19"/>
  <c r="AW13" i="19"/>
  <c r="AU13" i="19"/>
  <c r="AS13" i="19"/>
  <c r="AQ13" i="19"/>
  <c r="AO13" i="19"/>
  <c r="AM13" i="19"/>
  <c r="AK13" i="19"/>
  <c r="AI13" i="19"/>
  <c r="AG13" i="19"/>
  <c r="AE13" i="19"/>
  <c r="W13" i="19"/>
  <c r="U13" i="19"/>
  <c r="S13" i="19"/>
  <c r="M13" i="19"/>
  <c r="K13" i="19"/>
  <c r="G13" i="19"/>
  <c r="E13" i="19"/>
  <c r="C13" i="19"/>
  <c r="BG12" i="19"/>
  <c r="BE12" i="19"/>
  <c r="BC12" i="19"/>
  <c r="BA12" i="19"/>
  <c r="AY12" i="19"/>
  <c r="AW12" i="19"/>
  <c r="AU12" i="19"/>
  <c r="AS12" i="19"/>
  <c r="AQ12" i="19"/>
  <c r="AO12" i="19"/>
  <c r="AM12" i="19"/>
  <c r="AK12" i="19"/>
  <c r="AI12" i="19"/>
  <c r="AG12" i="19"/>
  <c r="AE12" i="19"/>
  <c r="AA12" i="19"/>
  <c r="W12" i="19"/>
  <c r="U12" i="19"/>
  <c r="S12" i="19"/>
  <c r="O12" i="19"/>
  <c r="M12" i="19"/>
  <c r="K12" i="19"/>
  <c r="I12" i="19"/>
  <c r="G12" i="19"/>
  <c r="E12" i="19"/>
  <c r="C12" i="19"/>
  <c r="BG11" i="19"/>
  <c r="BE11" i="19"/>
  <c r="BC11" i="19"/>
  <c r="BA11" i="19"/>
  <c r="AY11" i="19"/>
  <c r="AW11" i="19"/>
  <c r="AU11" i="19"/>
  <c r="AS11" i="19"/>
  <c r="AQ11" i="19"/>
  <c r="AO11" i="19"/>
  <c r="AM11" i="19"/>
  <c r="AK11" i="19"/>
  <c r="AI11" i="19"/>
  <c r="AG11" i="19"/>
  <c r="AE11" i="19"/>
  <c r="AC11" i="19"/>
  <c r="AA11" i="19"/>
  <c r="Y11" i="19"/>
  <c r="W11" i="19"/>
  <c r="U11" i="19"/>
  <c r="S11" i="19"/>
  <c r="K11" i="19"/>
  <c r="I11" i="19"/>
  <c r="G11" i="19"/>
  <c r="E11" i="19"/>
  <c r="C11" i="19"/>
  <c r="AC10" i="19" l="1"/>
  <c r="AK9" i="19"/>
  <c r="AI9" i="19"/>
  <c r="AG9" i="19"/>
  <c r="AE9" i="19"/>
  <c r="AC9" i="19"/>
  <c r="AA9" i="19"/>
  <c r="Y9" i="19"/>
  <c r="W9" i="19"/>
  <c r="U9" i="19"/>
  <c r="S9" i="19"/>
  <c r="Q9" i="19"/>
  <c r="O9" i="19"/>
  <c r="M9" i="19"/>
  <c r="K9" i="19"/>
  <c r="I9" i="19"/>
  <c r="G9" i="19"/>
  <c r="E9" i="19"/>
  <c r="C9" i="19"/>
  <c r="AK8" i="19"/>
  <c r="AI8" i="19"/>
  <c r="AG8" i="19"/>
  <c r="AE8" i="19"/>
  <c r="AC8" i="19"/>
  <c r="AA8" i="19"/>
  <c r="Y8" i="19"/>
  <c r="W8" i="19"/>
  <c r="U8" i="19"/>
  <c r="S8" i="19"/>
  <c r="Q8" i="19"/>
  <c r="O8" i="19"/>
  <c r="M8" i="19"/>
  <c r="K8" i="19"/>
  <c r="I8" i="19"/>
  <c r="G8" i="19"/>
  <c r="E8" i="19"/>
  <c r="C8" i="19"/>
  <c r="AK7" i="19"/>
  <c r="AI7" i="19"/>
  <c r="AG7" i="19"/>
  <c r="AE7" i="19"/>
  <c r="AC7" i="19"/>
  <c r="AA7" i="19"/>
  <c r="Y7" i="19"/>
  <c r="W7" i="19"/>
  <c r="U7" i="19"/>
  <c r="S7" i="19"/>
  <c r="Q7" i="19"/>
  <c r="O7" i="19"/>
  <c r="M7" i="19"/>
  <c r="K7" i="19"/>
  <c r="I7" i="19"/>
  <c r="G7" i="19"/>
  <c r="E7" i="19"/>
  <c r="C7" i="19"/>
  <c r="AK6" i="19"/>
  <c r="AC6" i="19"/>
  <c r="AS24" i="2"/>
  <c r="AQ24" i="2"/>
  <c r="AK24" i="2"/>
  <c r="AI24" i="2"/>
  <c r="AG24" i="2"/>
  <c r="AE24" i="2"/>
  <c r="AC24" i="2"/>
  <c r="AA24" i="2"/>
  <c r="Y24" i="2"/>
  <c r="W24" i="2"/>
  <c r="U24" i="2"/>
  <c r="S24" i="2"/>
  <c r="Q24" i="2"/>
  <c r="O24" i="2"/>
  <c r="M24" i="2"/>
  <c r="K24" i="2"/>
  <c r="I24" i="2"/>
  <c r="G24" i="2"/>
  <c r="E24" i="2"/>
  <c r="C24" i="2"/>
  <c r="AQ14" i="18"/>
  <c r="AO14" i="18"/>
  <c r="AM14" i="18"/>
  <c r="AK14" i="18"/>
  <c r="AI14" i="18"/>
  <c r="AG14" i="18"/>
  <c r="AE14" i="18"/>
  <c r="U14" i="18"/>
  <c r="S14" i="18"/>
  <c r="G14" i="18"/>
  <c r="E14" i="18"/>
  <c r="C14" i="18"/>
  <c r="AQ13" i="18"/>
  <c r="AO13" i="18"/>
  <c r="AM13" i="18"/>
  <c r="AK13" i="18"/>
  <c r="AI13" i="18"/>
  <c r="AG13" i="18"/>
  <c r="AE13" i="18"/>
  <c r="W13" i="18"/>
  <c r="U13" i="18"/>
  <c r="S13" i="18"/>
  <c r="K13" i="18"/>
  <c r="I13" i="18"/>
  <c r="E13" i="18"/>
  <c r="C13" i="18"/>
  <c r="AQ12" i="18"/>
  <c r="AO12" i="18"/>
  <c r="AM12" i="18"/>
  <c r="AK12" i="18"/>
  <c r="AI12" i="18"/>
  <c r="AG12" i="18"/>
  <c r="AE12" i="18"/>
  <c r="AA12" i="18"/>
  <c r="W12" i="18"/>
  <c r="U12" i="18"/>
  <c r="S12" i="18"/>
  <c r="M12" i="18"/>
  <c r="G12" i="18"/>
  <c r="E12" i="18"/>
  <c r="C12" i="18"/>
  <c r="AQ11" i="18"/>
  <c r="AO11" i="18"/>
  <c r="AM11" i="18"/>
  <c r="AK11" i="18"/>
  <c r="AI11" i="18"/>
  <c r="AG11" i="18"/>
  <c r="AE11" i="18"/>
  <c r="AA11" i="18"/>
  <c r="W11" i="18"/>
  <c r="U11" i="18"/>
  <c r="S11" i="18"/>
  <c r="K11" i="18"/>
  <c r="G11" i="18"/>
  <c r="E11" i="18"/>
  <c r="C11" i="18"/>
  <c r="AC10" i="18"/>
  <c r="AK9" i="18"/>
  <c r="AI9" i="18"/>
  <c r="AG9" i="18"/>
  <c r="AE9" i="18"/>
  <c r="AC9" i="18"/>
  <c r="AA9" i="18"/>
  <c r="Y9" i="18"/>
  <c r="W9" i="18"/>
  <c r="U9" i="18"/>
  <c r="S9" i="18"/>
  <c r="Q9" i="18"/>
  <c r="O9" i="18"/>
  <c r="M9" i="18"/>
  <c r="K9" i="18"/>
  <c r="I9" i="18"/>
  <c r="G9" i="18"/>
  <c r="E9" i="18"/>
  <c r="C9" i="18"/>
  <c r="AK8" i="18"/>
  <c r="AI8" i="18"/>
  <c r="AG8" i="18"/>
  <c r="AE8" i="18"/>
  <c r="AC8" i="18"/>
  <c r="AA8" i="18"/>
  <c r="Y8" i="18"/>
  <c r="W8" i="18"/>
  <c r="U8" i="18"/>
  <c r="S8" i="18"/>
  <c r="Q8" i="18"/>
  <c r="O8" i="18"/>
  <c r="M8" i="18"/>
  <c r="K8" i="18"/>
  <c r="I8" i="18"/>
  <c r="G8" i="18"/>
  <c r="E8" i="18"/>
  <c r="C8" i="18"/>
  <c r="AK7" i="18"/>
  <c r="AI7" i="18"/>
  <c r="AG7" i="18"/>
  <c r="AE7" i="18"/>
  <c r="AC7" i="18"/>
  <c r="AA7" i="18"/>
  <c r="Y7" i="18"/>
  <c r="W7" i="18"/>
  <c r="U7" i="18"/>
  <c r="S7" i="18"/>
  <c r="Q7" i="18"/>
  <c r="O7" i="18"/>
  <c r="M7" i="18"/>
  <c r="K7" i="18"/>
  <c r="I7" i="18"/>
  <c r="G7" i="18"/>
  <c r="E7" i="18"/>
  <c r="C7" i="18"/>
  <c r="AC6" i="18"/>
  <c r="AS23" i="2"/>
  <c r="AQ23" i="2"/>
  <c r="AK23" i="2"/>
  <c r="AI23" i="2"/>
  <c r="AG23" i="2"/>
  <c r="AE23" i="2"/>
  <c r="AC23" i="2"/>
  <c r="AA23" i="2"/>
  <c r="Y23" i="2"/>
  <c r="W23" i="2"/>
  <c r="U23" i="2"/>
  <c r="S23" i="2"/>
  <c r="Q23" i="2"/>
  <c r="O23" i="2"/>
  <c r="M23" i="2"/>
  <c r="K23" i="2"/>
  <c r="I23" i="2"/>
  <c r="G23" i="2"/>
  <c r="E23" i="2"/>
  <c r="C23" i="2"/>
  <c r="AS11" i="17"/>
  <c r="AQ11" i="17"/>
  <c r="AO11" i="17"/>
  <c r="AM11" i="17"/>
  <c r="AK11" i="17"/>
  <c r="AI11" i="17"/>
  <c r="AG11" i="17"/>
  <c r="AE11" i="17"/>
  <c r="U11" i="17"/>
  <c r="S11" i="17"/>
  <c r="G11" i="17"/>
  <c r="E11" i="17"/>
  <c r="C11" i="17"/>
  <c r="AC10" i="17"/>
  <c r="AK9" i="17"/>
  <c r="AI9" i="17"/>
  <c r="AG9" i="17"/>
  <c r="AE9" i="17"/>
  <c r="AC9" i="17"/>
  <c r="AA9" i="17"/>
  <c r="Y9" i="17"/>
  <c r="W9" i="17"/>
  <c r="U9" i="17"/>
  <c r="S9" i="17"/>
  <c r="Q9" i="17"/>
  <c r="O9" i="17"/>
  <c r="M9" i="17"/>
  <c r="K9" i="17"/>
  <c r="I9" i="17"/>
  <c r="G9" i="17"/>
  <c r="E9" i="17"/>
  <c r="C9" i="17"/>
  <c r="AK8" i="17"/>
  <c r="AI8" i="17"/>
  <c r="AG8" i="17"/>
  <c r="AE8" i="17"/>
  <c r="AC8" i="17"/>
  <c r="AA8" i="17"/>
  <c r="Y8" i="17"/>
  <c r="W8" i="17"/>
  <c r="U8" i="17"/>
  <c r="S8" i="17"/>
  <c r="Q8" i="17"/>
  <c r="O8" i="17"/>
  <c r="M8" i="17"/>
  <c r="K8" i="17"/>
  <c r="I8" i="17"/>
  <c r="G8" i="17"/>
  <c r="E8" i="17"/>
  <c r="C8" i="17"/>
  <c r="AK7" i="17"/>
  <c r="AI7" i="17"/>
  <c r="AG7" i="17"/>
  <c r="AE7" i="17"/>
  <c r="AC7" i="17"/>
  <c r="AA7" i="17"/>
  <c r="Y7" i="17"/>
  <c r="W7" i="17"/>
  <c r="U7" i="17"/>
  <c r="S7" i="17"/>
  <c r="Q7" i="17"/>
  <c r="O7" i="17"/>
  <c r="M7" i="17"/>
  <c r="K7" i="17"/>
  <c r="I7" i="17"/>
  <c r="G7" i="17"/>
  <c r="E7" i="17"/>
  <c r="C7" i="17"/>
  <c r="AC6" i="17"/>
  <c r="AS22" i="2"/>
  <c r="AQ22" i="2"/>
  <c r="AI22" i="2"/>
  <c r="AG22" i="2"/>
  <c r="AE22" i="2"/>
  <c r="AC22" i="2"/>
  <c r="AA22" i="2"/>
  <c r="Y22" i="2"/>
  <c r="W22" i="2"/>
  <c r="U22" i="2"/>
  <c r="S22" i="2"/>
  <c r="G22" i="2"/>
  <c r="E22" i="2"/>
  <c r="C22" i="2"/>
  <c r="BI15" i="16"/>
  <c r="BG15" i="16"/>
  <c r="BE15" i="16"/>
  <c r="BC15" i="16"/>
  <c r="BA15" i="16"/>
  <c r="AY15" i="16"/>
  <c r="AW15" i="16"/>
  <c r="AU15" i="16"/>
  <c r="AS15" i="16"/>
  <c r="AQ15" i="16"/>
  <c r="AI15" i="16"/>
  <c r="AG15" i="16"/>
  <c r="AE15" i="16"/>
  <c r="W15" i="16"/>
  <c r="U15" i="16"/>
  <c r="S15" i="16"/>
  <c r="M15" i="16"/>
  <c r="G15" i="16"/>
  <c r="E15" i="16"/>
  <c r="C15" i="16"/>
  <c r="BI14" i="16"/>
  <c r="BG14" i="16"/>
  <c r="BE14" i="16"/>
  <c r="BC14" i="16"/>
  <c r="BA14" i="16"/>
  <c r="AY14" i="16"/>
  <c r="AW14" i="16"/>
  <c r="AU14" i="16"/>
  <c r="AS14" i="16"/>
  <c r="AQ14" i="16"/>
  <c r="AK14" i="16"/>
  <c r="AI14" i="16"/>
  <c r="AG14" i="16"/>
  <c r="AE14" i="16"/>
  <c r="AA14" i="16"/>
  <c r="W14" i="16"/>
  <c r="U14" i="16"/>
  <c r="S14" i="16"/>
  <c r="M14" i="16"/>
  <c r="K14" i="16"/>
  <c r="I14" i="16"/>
  <c r="G14" i="16"/>
  <c r="E14" i="16"/>
  <c r="C14" i="16"/>
  <c r="BI13" i="16"/>
  <c r="BG13" i="16"/>
  <c r="BE13" i="16"/>
  <c r="BC13" i="16"/>
  <c r="BA13" i="16"/>
  <c r="AY13" i="16"/>
  <c r="AW13" i="16"/>
  <c r="AU13" i="16"/>
  <c r="AS13" i="16"/>
  <c r="AQ13" i="16"/>
  <c r="AK13" i="16"/>
  <c r="AI13" i="16"/>
  <c r="AG13" i="16"/>
  <c r="AE13" i="16"/>
  <c r="AA13" i="16"/>
  <c r="Y13" i="16"/>
  <c r="U13" i="16"/>
  <c r="S13" i="16"/>
  <c r="M13" i="16"/>
  <c r="K13" i="16"/>
  <c r="G13" i="16"/>
  <c r="E13" i="16"/>
  <c r="C13" i="16"/>
  <c r="BI12" i="16"/>
  <c r="BG12" i="16"/>
  <c r="BE12" i="16"/>
  <c r="BC12" i="16"/>
  <c r="BA12" i="16"/>
  <c r="AY12" i="16"/>
  <c r="AW12" i="16"/>
  <c r="AU12" i="16"/>
  <c r="AM12" i="16"/>
  <c r="AK12" i="16"/>
  <c r="AI12" i="16"/>
  <c r="AG12" i="16"/>
  <c r="AE12" i="16"/>
  <c r="AA12" i="16"/>
  <c r="W12" i="16"/>
  <c r="U12" i="16"/>
  <c r="S12" i="16"/>
  <c r="G12" i="16"/>
  <c r="E12" i="16"/>
  <c r="C12" i="16"/>
  <c r="E11" i="16"/>
  <c r="BI11" i="16"/>
  <c r="BG11" i="16"/>
  <c r="BE11" i="16"/>
  <c r="BC11" i="16"/>
  <c r="BA11" i="16"/>
  <c r="AY11" i="16"/>
  <c r="AW11" i="16"/>
  <c r="AU11" i="16"/>
  <c r="AM11" i="16"/>
  <c r="AK11" i="16"/>
  <c r="AI11" i="16"/>
  <c r="AG11" i="16"/>
  <c r="AE11" i="16"/>
  <c r="W11" i="16"/>
  <c r="U11" i="16"/>
  <c r="S11" i="16"/>
  <c r="O11" i="16"/>
  <c r="K11" i="16"/>
  <c r="I11" i="16"/>
  <c r="G11" i="16"/>
  <c r="C11" i="16"/>
  <c r="AC10" i="16"/>
  <c r="AK9" i="16"/>
  <c r="AI9" i="16"/>
  <c r="AG9" i="16"/>
  <c r="AE9" i="16"/>
  <c r="AC9" i="16"/>
  <c r="AA9" i="16"/>
  <c r="Y9" i="16"/>
  <c r="W9" i="16"/>
  <c r="U9" i="16"/>
  <c r="S9" i="16"/>
  <c r="Q9" i="16"/>
  <c r="O9" i="16"/>
  <c r="M9" i="16"/>
  <c r="K9" i="16"/>
  <c r="I9" i="16"/>
  <c r="G9" i="16"/>
  <c r="E9" i="16"/>
  <c r="C9" i="16"/>
  <c r="AK8" i="16"/>
  <c r="AI8" i="16"/>
  <c r="AG8" i="16"/>
  <c r="AE8" i="16"/>
  <c r="AC8" i="16"/>
  <c r="AA8" i="16"/>
  <c r="Y8" i="16"/>
  <c r="W8" i="16"/>
  <c r="U8" i="16"/>
  <c r="S8" i="16"/>
  <c r="Q8" i="16"/>
  <c r="O8" i="16"/>
  <c r="M8" i="16"/>
  <c r="K8" i="16"/>
  <c r="I8" i="16"/>
  <c r="G8" i="16"/>
  <c r="E8" i="16"/>
  <c r="C8" i="16"/>
  <c r="AK7" i="16"/>
  <c r="AI7" i="16"/>
  <c r="AG7" i="16"/>
  <c r="AE7" i="16"/>
  <c r="AC7" i="16"/>
  <c r="AA7" i="16"/>
  <c r="Y7" i="16"/>
  <c r="W7" i="16"/>
  <c r="U7" i="16"/>
  <c r="S7" i="16"/>
  <c r="Q7" i="16"/>
  <c r="O7" i="16"/>
  <c r="M7" i="16"/>
  <c r="K7" i="16"/>
  <c r="I7" i="16"/>
  <c r="G7" i="16"/>
  <c r="E7" i="16"/>
  <c r="C7" i="16"/>
  <c r="AC6" i="16"/>
  <c r="BW17" i="15"/>
  <c r="BU17" i="15"/>
  <c r="BS17" i="15"/>
  <c r="BQ17" i="15"/>
  <c r="BO17" i="15"/>
  <c r="BM17" i="15"/>
  <c r="BK17" i="15"/>
  <c r="BI17" i="15"/>
  <c r="BG17" i="15"/>
  <c r="BE17" i="15"/>
  <c r="BC17" i="15"/>
  <c r="BA17" i="15"/>
  <c r="AY17" i="15"/>
  <c r="AQ17" i="15"/>
  <c r="AO17" i="15"/>
  <c r="AM17" i="15"/>
  <c r="AK17" i="15"/>
  <c r="AI17" i="15"/>
  <c r="AG17" i="15"/>
  <c r="AE17" i="15"/>
  <c r="AC17" i="15"/>
  <c r="AA17" i="15"/>
  <c r="W17" i="15"/>
  <c r="U17" i="15"/>
  <c r="S17" i="15"/>
  <c r="M17" i="15"/>
  <c r="K17" i="15"/>
  <c r="G17" i="15"/>
  <c r="E17" i="15"/>
  <c r="C17" i="15"/>
  <c r="BW16" i="15"/>
  <c r="BU16" i="15"/>
  <c r="BS16" i="15"/>
  <c r="BQ16" i="15"/>
  <c r="BO16" i="15"/>
  <c r="BM16" i="15"/>
  <c r="BK16" i="15"/>
  <c r="BI16" i="15"/>
  <c r="BG16" i="15"/>
  <c r="BE16" i="15"/>
  <c r="BC16" i="15"/>
  <c r="BA16" i="15"/>
  <c r="AY16" i="15"/>
  <c r="AQ16" i="15"/>
  <c r="AO16" i="15"/>
  <c r="AM16" i="15"/>
  <c r="AK16" i="15"/>
  <c r="AI16" i="15"/>
  <c r="AG16" i="15"/>
  <c r="AE16" i="15"/>
  <c r="AA16" i="15"/>
  <c r="Y16" i="15"/>
  <c r="W16" i="15"/>
  <c r="U16" i="15"/>
  <c r="S16" i="15"/>
  <c r="M16" i="15"/>
  <c r="K16" i="15"/>
  <c r="I16" i="15"/>
  <c r="G16" i="15"/>
  <c r="E16" i="15"/>
  <c r="C16" i="15"/>
  <c r="BW14" i="15"/>
  <c r="BU14" i="15"/>
  <c r="BS14" i="15"/>
  <c r="BQ14" i="15"/>
  <c r="BO14" i="15"/>
  <c r="BM14" i="15"/>
  <c r="BK14" i="15"/>
  <c r="BI14" i="15"/>
  <c r="BG14" i="15"/>
  <c r="BE14" i="15"/>
  <c r="BC14" i="15"/>
  <c r="BA14" i="15"/>
  <c r="AY14" i="15"/>
  <c r="AQ14" i="15"/>
  <c r="AO14" i="15"/>
  <c r="AM14" i="15"/>
  <c r="AK14" i="15"/>
  <c r="AI14" i="15"/>
  <c r="AG14" i="15"/>
  <c r="AE14" i="15"/>
  <c r="AA14" i="15"/>
  <c r="Y14" i="15"/>
  <c r="W14" i="15"/>
  <c r="U14" i="15"/>
  <c r="S14" i="15"/>
  <c r="M14" i="15"/>
  <c r="G14" i="15"/>
  <c r="E14" i="15"/>
  <c r="C14" i="15"/>
  <c r="BW13" i="15"/>
  <c r="BU13" i="15"/>
  <c r="BS13" i="15"/>
  <c r="BQ13" i="15"/>
  <c r="BO13" i="15"/>
  <c r="BM13" i="15"/>
  <c r="BK13" i="15"/>
  <c r="BI13" i="15"/>
  <c r="BG13" i="15"/>
  <c r="BE13" i="15"/>
  <c r="BC13" i="15"/>
  <c r="BA13" i="15"/>
  <c r="AY13" i="15"/>
  <c r="AQ13" i="15"/>
  <c r="AO13" i="15"/>
  <c r="AM13" i="15"/>
  <c r="AK13" i="15"/>
  <c r="AI13" i="15"/>
  <c r="AG13" i="15"/>
  <c r="AE13" i="15"/>
  <c r="AA13" i="15"/>
  <c r="Y13" i="15"/>
  <c r="W13" i="15"/>
  <c r="U13" i="15"/>
  <c r="S13" i="15"/>
  <c r="Q13" i="15"/>
  <c r="M13" i="15"/>
  <c r="K13" i="15"/>
  <c r="I13" i="15"/>
  <c r="G13" i="15"/>
  <c r="E13" i="15"/>
  <c r="C13" i="15"/>
  <c r="BW12" i="15"/>
  <c r="BU12" i="15"/>
  <c r="BS12" i="15"/>
  <c r="BQ12" i="15"/>
  <c r="BO12" i="15"/>
  <c r="BM12" i="15"/>
  <c r="BK12" i="15"/>
  <c r="BI12" i="15"/>
  <c r="BG12" i="15"/>
  <c r="BE12" i="15"/>
  <c r="BC12" i="15"/>
  <c r="BA12" i="15"/>
  <c r="AY12" i="15"/>
  <c r="AQ12" i="15"/>
  <c r="AO12" i="15"/>
  <c r="AM12" i="15"/>
  <c r="AK12" i="15"/>
  <c r="AI12" i="15"/>
  <c r="AG12" i="15"/>
  <c r="AE12" i="15"/>
  <c r="AC12" i="15"/>
  <c r="AA12" i="15"/>
  <c r="W12" i="15"/>
  <c r="U12" i="15"/>
  <c r="S12" i="15"/>
  <c r="K12" i="15"/>
  <c r="I12" i="15"/>
  <c r="G12" i="15"/>
  <c r="E12" i="15"/>
  <c r="C12" i="15"/>
  <c r="BW11" i="15"/>
  <c r="BU11" i="15"/>
  <c r="BS11" i="15"/>
  <c r="BQ11" i="15"/>
  <c r="BO11" i="15"/>
  <c r="BM11" i="15"/>
  <c r="BK11" i="15"/>
  <c r="BI11" i="15"/>
  <c r="BG11" i="15"/>
  <c r="BE11" i="15"/>
  <c r="BC11" i="15"/>
  <c r="BA11" i="15"/>
  <c r="AY11" i="15"/>
  <c r="AQ11" i="15"/>
  <c r="AO11" i="15"/>
  <c r="AM11" i="15"/>
  <c r="AK11" i="15"/>
  <c r="AI11" i="15"/>
  <c r="AG11" i="15"/>
  <c r="AE11" i="15"/>
  <c r="AA11" i="15"/>
  <c r="W11" i="15"/>
  <c r="U11" i="15"/>
  <c r="S11" i="15"/>
  <c r="M11" i="15"/>
  <c r="K11" i="15"/>
  <c r="G11" i="15"/>
  <c r="E11" i="15"/>
  <c r="C11" i="15"/>
  <c r="AC10" i="15"/>
  <c r="AK9" i="15"/>
  <c r="AI9" i="15"/>
  <c r="AG9" i="15"/>
  <c r="AE9" i="15"/>
  <c r="AC9" i="15"/>
  <c r="AA9" i="15"/>
  <c r="Y9" i="15"/>
  <c r="W9" i="15"/>
  <c r="U9" i="15"/>
  <c r="S9" i="15"/>
  <c r="Q9" i="15"/>
  <c r="O9" i="15"/>
  <c r="M9" i="15"/>
  <c r="K9" i="15"/>
  <c r="I9" i="15"/>
  <c r="G9" i="15"/>
  <c r="E9" i="15"/>
  <c r="C9" i="15"/>
  <c r="AK8" i="15"/>
  <c r="AI8" i="15"/>
  <c r="AG8" i="15"/>
  <c r="AE8" i="15"/>
  <c r="AC8" i="15"/>
  <c r="AA8" i="15"/>
  <c r="Y8" i="15"/>
  <c r="W8" i="15"/>
  <c r="U8" i="15"/>
  <c r="S8" i="15"/>
  <c r="Q8" i="15"/>
  <c r="O8" i="15"/>
  <c r="M8" i="15"/>
  <c r="K8" i="15"/>
  <c r="I8" i="15"/>
  <c r="G8" i="15"/>
  <c r="E8" i="15"/>
  <c r="C8" i="15"/>
  <c r="AK7" i="15"/>
  <c r="AI7" i="15"/>
  <c r="AG7" i="15"/>
  <c r="AE7" i="15"/>
  <c r="AC7" i="15"/>
  <c r="AA7" i="15"/>
  <c r="Y7" i="15"/>
  <c r="W7" i="15"/>
  <c r="U7" i="15"/>
  <c r="S7" i="15"/>
  <c r="Q7" i="15"/>
  <c r="O7" i="15"/>
  <c r="M7" i="15"/>
  <c r="K7" i="15"/>
  <c r="I7" i="15"/>
  <c r="G7" i="15"/>
  <c r="E7" i="15"/>
  <c r="C7" i="15"/>
  <c r="AK6" i="15"/>
  <c r="AC6" i="15"/>
  <c r="AS20" i="2"/>
  <c r="AQ20" i="2"/>
  <c r="AO20" i="2"/>
  <c r="AM20" i="2"/>
  <c r="AG20" i="2"/>
  <c r="AE20" i="2"/>
  <c r="AA20" i="2"/>
  <c r="Y20" i="2"/>
  <c r="W20" i="2"/>
  <c r="U20" i="2"/>
  <c r="S20" i="2"/>
  <c r="Q20" i="2"/>
  <c r="O20" i="2"/>
  <c r="M20" i="2"/>
  <c r="K20" i="2"/>
  <c r="I20" i="2"/>
  <c r="E20" i="2"/>
  <c r="C20" i="2"/>
  <c r="BM23" i="14"/>
  <c r="BM22" i="14"/>
  <c r="BK23" i="14"/>
  <c r="BI23" i="14"/>
  <c r="BG23" i="14"/>
  <c r="BE23" i="14"/>
  <c r="BC23" i="14"/>
  <c r="BA23" i="14"/>
  <c r="AY23" i="14"/>
  <c r="AU23" i="14"/>
  <c r="AS23" i="14"/>
  <c r="AQ23" i="14"/>
  <c r="AO23" i="14"/>
  <c r="AM23" i="14"/>
  <c r="AG23" i="14"/>
  <c r="AE23" i="14"/>
  <c r="AC23" i="14"/>
  <c r="Y23" i="14"/>
  <c r="W23" i="14"/>
  <c r="U23" i="14"/>
  <c r="S23" i="14"/>
  <c r="M23" i="14"/>
  <c r="G23" i="14"/>
  <c r="E23" i="14"/>
  <c r="C23" i="14"/>
  <c r="BK22" i="14"/>
  <c r="BI22" i="14"/>
  <c r="BG22" i="14"/>
  <c r="BE22" i="14"/>
  <c r="BC22" i="14"/>
  <c r="BA22" i="14"/>
  <c r="AY22" i="14"/>
  <c r="AW22" i="14"/>
  <c r="AU22" i="14"/>
  <c r="AS22" i="14"/>
  <c r="AQ22" i="14"/>
  <c r="AO22" i="14"/>
  <c r="AM22" i="14"/>
  <c r="AK22" i="14"/>
  <c r="AI22" i="14"/>
  <c r="AG22" i="14"/>
  <c r="AE22" i="14"/>
  <c r="Y22" i="14"/>
  <c r="U22" i="14"/>
  <c r="S22" i="14"/>
  <c r="M22" i="14"/>
  <c r="K22" i="14"/>
  <c r="I22" i="14"/>
  <c r="E22" i="14"/>
  <c r="C22" i="14"/>
  <c r="BM21" i="14"/>
  <c r="BK21" i="14"/>
  <c r="BI21" i="14"/>
  <c r="BG21" i="14"/>
  <c r="BE21" i="14"/>
  <c r="BC21" i="14"/>
  <c r="BA21" i="14"/>
  <c r="AY21" i="14"/>
  <c r="AW21" i="14"/>
  <c r="AU21" i="14"/>
  <c r="AS21" i="14"/>
  <c r="AQ21" i="14"/>
  <c r="AO21" i="14"/>
  <c r="AM21" i="14"/>
  <c r="AG21" i="14"/>
  <c r="AE21" i="14"/>
  <c r="AC21" i="14"/>
  <c r="AA21" i="14"/>
  <c r="Y21" i="14"/>
  <c r="W21" i="14"/>
  <c r="U21" i="14"/>
  <c r="S21" i="14"/>
  <c r="M21" i="14"/>
  <c r="K21" i="14"/>
  <c r="I21" i="14"/>
  <c r="G21" i="14"/>
  <c r="E21" i="14"/>
  <c r="C21" i="14"/>
  <c r="BM20" i="14"/>
  <c r="BK20" i="14"/>
  <c r="BI20" i="14"/>
  <c r="BG20" i="14"/>
  <c r="BE20" i="14"/>
  <c r="BC20" i="14"/>
  <c r="BA20" i="14"/>
  <c r="AY20" i="14"/>
  <c r="AW20" i="14"/>
  <c r="AU20" i="14"/>
  <c r="AS20" i="14"/>
  <c r="AQ20" i="14"/>
  <c r="AO20" i="14"/>
  <c r="AM20" i="14"/>
  <c r="AG20" i="14"/>
  <c r="AE20" i="14"/>
  <c r="AA20" i="14"/>
  <c r="Y20" i="14"/>
  <c r="W20" i="14"/>
  <c r="U20" i="14"/>
  <c r="S20" i="14"/>
  <c r="M20" i="14"/>
  <c r="K20" i="14"/>
  <c r="I20" i="14"/>
  <c r="G20" i="14"/>
  <c r="E20" i="14"/>
  <c r="C20" i="14"/>
  <c r="BM19" i="14"/>
  <c r="BK19" i="14"/>
  <c r="BI19" i="14"/>
  <c r="BG19" i="14"/>
  <c r="BE19" i="14"/>
  <c r="BC19" i="14"/>
  <c r="BA19" i="14"/>
  <c r="AY19" i="14"/>
  <c r="AW19" i="14"/>
  <c r="AU19" i="14"/>
  <c r="AS19" i="14"/>
  <c r="AQ19" i="14"/>
  <c r="AO19" i="14"/>
  <c r="AM19" i="14"/>
  <c r="AG19" i="14"/>
  <c r="AE19" i="14"/>
  <c r="AC19" i="14"/>
  <c r="AA19" i="14"/>
  <c r="W19" i="14"/>
  <c r="U19" i="14"/>
  <c r="S19" i="14"/>
  <c r="M19" i="14"/>
  <c r="K19" i="14"/>
  <c r="I19" i="14"/>
  <c r="G19" i="14"/>
  <c r="E19" i="14"/>
  <c r="C19" i="14"/>
  <c r="BM18" i="14"/>
  <c r="BK18" i="14"/>
  <c r="BI18" i="14"/>
  <c r="BG18" i="14"/>
  <c r="BE18" i="14"/>
  <c r="BC18" i="14"/>
  <c r="BA18" i="14"/>
  <c r="AY18" i="14"/>
  <c r="AW18" i="14"/>
  <c r="AU18" i="14"/>
  <c r="AS18" i="14"/>
  <c r="AQ18" i="14"/>
  <c r="AO18" i="14"/>
  <c r="AM18" i="14"/>
  <c r="AG18" i="14"/>
  <c r="AE18" i="14"/>
  <c r="U18" i="14"/>
  <c r="S18" i="14"/>
  <c r="Q18" i="14"/>
  <c r="M18" i="14"/>
  <c r="K18" i="14"/>
  <c r="G18" i="14"/>
  <c r="E18" i="14"/>
  <c r="C18" i="14"/>
  <c r="BM17" i="14"/>
  <c r="BK17" i="14"/>
  <c r="BI17" i="14"/>
  <c r="BG17" i="14"/>
  <c r="BE17" i="14"/>
  <c r="BC17" i="14"/>
  <c r="BA17" i="14"/>
  <c r="AY17" i="14"/>
  <c r="AW17" i="14"/>
  <c r="AU17" i="14"/>
  <c r="AS17" i="14"/>
  <c r="AQ17" i="14"/>
  <c r="AO17" i="14"/>
  <c r="AM17" i="14"/>
  <c r="AG17" i="14"/>
  <c r="AE17" i="14"/>
  <c r="AC17" i="14"/>
  <c r="AA17" i="14"/>
  <c r="Y17" i="14"/>
  <c r="W17" i="14"/>
  <c r="U17" i="14"/>
  <c r="S17" i="14"/>
  <c r="O17" i="14"/>
  <c r="M17" i="14"/>
  <c r="I17" i="14"/>
  <c r="G17" i="14"/>
  <c r="E17" i="14"/>
  <c r="C17" i="14"/>
  <c r="BM16" i="14"/>
  <c r="BK16" i="14"/>
  <c r="BI16" i="14"/>
  <c r="BG16" i="14"/>
  <c r="BE16" i="14"/>
  <c r="BC16" i="14"/>
  <c r="BA16" i="14"/>
  <c r="AY16" i="14"/>
  <c r="AW16" i="14"/>
  <c r="AU16" i="14"/>
  <c r="AS16" i="14"/>
  <c r="AQ16" i="14"/>
  <c r="AO16" i="14"/>
  <c r="AM16" i="14"/>
  <c r="AK16" i="14"/>
  <c r="AI16" i="14"/>
  <c r="AG16" i="14"/>
  <c r="AE16" i="14"/>
  <c r="AC16" i="14"/>
  <c r="AA16" i="14"/>
  <c r="Y16" i="14"/>
  <c r="U16" i="14"/>
  <c r="S16" i="14"/>
  <c r="O16" i="14"/>
  <c r="M16" i="14"/>
  <c r="K16" i="14"/>
  <c r="I16" i="14"/>
  <c r="G16" i="14"/>
  <c r="E16" i="14"/>
  <c r="C16" i="14"/>
  <c r="BM15" i="14"/>
  <c r="BK15" i="14"/>
  <c r="BI15" i="14"/>
  <c r="BG15" i="14"/>
  <c r="BE15" i="14"/>
  <c r="BC15" i="14"/>
  <c r="BA15" i="14"/>
  <c r="AY15" i="14"/>
  <c r="AW15" i="14"/>
  <c r="AU15" i="14"/>
  <c r="AS15" i="14"/>
  <c r="AQ15" i="14"/>
  <c r="AO15" i="14"/>
  <c r="AM15" i="14"/>
  <c r="AK15" i="14"/>
  <c r="AI15" i="14"/>
  <c r="AG15" i="14"/>
  <c r="AE15" i="14"/>
  <c r="AC15" i="14"/>
  <c r="AA15" i="14"/>
  <c r="Y15" i="14"/>
  <c r="W15" i="14"/>
  <c r="U15" i="14"/>
  <c r="S15" i="14"/>
  <c r="O15" i="14"/>
  <c r="M15" i="14"/>
  <c r="K15" i="14"/>
  <c r="I15" i="14"/>
  <c r="G15" i="14"/>
  <c r="E15" i="14"/>
  <c r="C15" i="14"/>
  <c r="BM13" i="14"/>
  <c r="BK13" i="14"/>
  <c r="BI13" i="14"/>
  <c r="BG13" i="14"/>
  <c r="BE13" i="14"/>
  <c r="BC13" i="14"/>
  <c r="BA13" i="14"/>
  <c r="AY13" i="14"/>
  <c r="AW13" i="14"/>
  <c r="AU13" i="14"/>
  <c r="AS13" i="14"/>
  <c r="AQ13" i="14"/>
  <c r="AO13" i="14"/>
  <c r="AM13" i="14"/>
  <c r="AK13" i="14"/>
  <c r="AI13" i="14"/>
  <c r="AG13" i="14"/>
  <c r="AE13" i="14"/>
  <c r="U13" i="14"/>
  <c r="S13" i="14"/>
  <c r="K13" i="14"/>
  <c r="G13" i="14"/>
  <c r="E13" i="14"/>
  <c r="C13" i="14"/>
  <c r="BM14" i="14"/>
  <c r="BK14" i="14"/>
  <c r="BI14" i="14"/>
  <c r="BG14" i="14"/>
  <c r="BE14" i="14"/>
  <c r="BC14" i="14"/>
  <c r="BA14" i="14"/>
  <c r="AY14" i="14"/>
  <c r="AW14" i="14"/>
  <c r="AU14" i="14"/>
  <c r="AS14" i="14"/>
  <c r="AQ14" i="14"/>
  <c r="AO14" i="14"/>
  <c r="AM14" i="14"/>
  <c r="AG14" i="14"/>
  <c r="AE14" i="14"/>
  <c r="Y14" i="14"/>
  <c r="W14" i="14"/>
  <c r="U14" i="14"/>
  <c r="S14" i="14"/>
  <c r="M14" i="14"/>
  <c r="I14" i="14"/>
  <c r="G14" i="14"/>
  <c r="E14" i="14"/>
  <c r="C14" i="14"/>
  <c r="BM12" i="14" l="1"/>
  <c r="BK12" i="14"/>
  <c r="BI12" i="14"/>
  <c r="BG12" i="14"/>
  <c r="BE12" i="14"/>
  <c r="BC12" i="14"/>
  <c r="BA12" i="14"/>
  <c r="AY12" i="14"/>
  <c r="AW12" i="14"/>
  <c r="AU12" i="14"/>
  <c r="AS12" i="14"/>
  <c r="AQ12" i="14"/>
  <c r="AO12" i="14"/>
  <c r="AM12" i="14"/>
  <c r="AK12" i="14"/>
  <c r="AI12" i="14"/>
  <c r="AG12" i="14"/>
  <c r="AE12" i="14"/>
  <c r="AA12" i="14"/>
  <c r="W12" i="14"/>
  <c r="U12" i="14"/>
  <c r="S12" i="14"/>
  <c r="Q12" i="14"/>
  <c r="M12" i="14"/>
  <c r="K12" i="14"/>
  <c r="G12" i="14"/>
  <c r="E12" i="14"/>
  <c r="C12" i="14"/>
  <c r="BM11" i="14"/>
  <c r="BK11" i="14"/>
  <c r="BI11" i="14"/>
  <c r="BG11" i="14"/>
  <c r="BE11" i="14"/>
  <c r="BC11" i="14"/>
  <c r="BA11" i="14"/>
  <c r="AY11" i="14"/>
  <c r="AW11" i="14"/>
  <c r="AU11" i="14"/>
  <c r="AS11" i="14"/>
  <c r="AQ11" i="14"/>
  <c r="AO11" i="14"/>
  <c r="AM11" i="14"/>
  <c r="AK11" i="14"/>
  <c r="AI11" i="14"/>
  <c r="AG11" i="14"/>
  <c r="AE11" i="14"/>
  <c r="AC11" i="14"/>
  <c r="AA11" i="14"/>
  <c r="Y11" i="14"/>
  <c r="W11" i="14"/>
  <c r="U11" i="14"/>
  <c r="S11" i="14"/>
  <c r="Q11" i="14"/>
  <c r="M11" i="14"/>
  <c r="K11" i="14"/>
  <c r="I11" i="14"/>
  <c r="G11" i="14"/>
  <c r="E11" i="14"/>
  <c r="C11" i="14"/>
  <c r="BU11" i="14"/>
  <c r="AC10" i="14"/>
  <c r="AK9" i="14"/>
  <c r="AI9" i="14"/>
  <c r="AG9" i="14"/>
  <c r="AE9" i="14"/>
  <c r="AC9" i="14"/>
  <c r="AA9" i="14"/>
  <c r="Y9" i="14"/>
  <c r="W9" i="14"/>
  <c r="U9" i="14"/>
  <c r="S9" i="14"/>
  <c r="Q9" i="14"/>
  <c r="O9" i="14"/>
  <c r="M9" i="14"/>
  <c r="K9" i="14"/>
  <c r="I9" i="14"/>
  <c r="G9" i="14"/>
  <c r="E9" i="14"/>
  <c r="C9" i="14"/>
  <c r="AK8" i="14"/>
  <c r="AI8" i="14"/>
  <c r="AG8" i="14"/>
  <c r="AE8" i="14"/>
  <c r="AC8" i="14"/>
  <c r="AA8" i="14"/>
  <c r="Y8" i="14"/>
  <c r="W8" i="14"/>
  <c r="U8" i="14"/>
  <c r="S8" i="14"/>
  <c r="Q8" i="14"/>
  <c r="O8" i="14"/>
  <c r="M8" i="14"/>
  <c r="K8" i="14"/>
  <c r="I8" i="14"/>
  <c r="G8" i="14"/>
  <c r="E8" i="14"/>
  <c r="C8" i="14"/>
  <c r="AK7" i="14"/>
  <c r="AI7" i="14"/>
  <c r="AG7" i="14"/>
  <c r="AE7" i="14"/>
  <c r="AC7" i="14"/>
  <c r="AA7" i="14"/>
  <c r="Y7" i="14"/>
  <c r="W7" i="14"/>
  <c r="U7" i="14"/>
  <c r="S7" i="14"/>
  <c r="Q7" i="14"/>
  <c r="O7" i="14"/>
  <c r="M7" i="14"/>
  <c r="K7" i="14"/>
  <c r="I7" i="14"/>
  <c r="G7" i="14"/>
  <c r="E7" i="14"/>
  <c r="C7" i="14"/>
  <c r="AK6" i="14"/>
  <c r="AC6" i="14"/>
  <c r="AU27" i="13"/>
  <c r="AS27" i="13"/>
  <c r="AQ27" i="13"/>
  <c r="AM27" i="13"/>
  <c r="AK27" i="13"/>
  <c r="AI27" i="13"/>
  <c r="AG27" i="13"/>
  <c r="AE27" i="13"/>
  <c r="AC27" i="13"/>
  <c r="Y27" i="13"/>
  <c r="W27" i="13"/>
  <c r="U27" i="13"/>
  <c r="S27" i="13"/>
  <c r="M27" i="13"/>
  <c r="I27" i="13"/>
  <c r="G27" i="13"/>
  <c r="E27" i="13"/>
  <c r="C27" i="13"/>
  <c r="AU26" i="13"/>
  <c r="AS26" i="13"/>
  <c r="AQ26" i="13"/>
  <c r="AM26" i="13"/>
  <c r="AK26" i="13"/>
  <c r="AI26" i="13"/>
  <c r="AG26" i="13"/>
  <c r="AE26" i="13"/>
  <c r="AC26" i="13"/>
  <c r="AA26" i="13"/>
  <c r="Y26" i="13"/>
  <c r="W26" i="13"/>
  <c r="U26" i="13"/>
  <c r="S26" i="13"/>
  <c r="Q26" i="13"/>
  <c r="O26" i="13"/>
  <c r="I26" i="13"/>
  <c r="G26" i="13"/>
  <c r="E26" i="13"/>
  <c r="C26" i="13"/>
  <c r="AU25" i="13"/>
  <c r="AS25" i="13"/>
  <c r="AQ25" i="13"/>
  <c r="AM25" i="13"/>
  <c r="AK25" i="13"/>
  <c r="AI25" i="13"/>
  <c r="AG25" i="13"/>
  <c r="AE25" i="13"/>
  <c r="AA25" i="13"/>
  <c r="Y25" i="13"/>
  <c r="W25" i="13"/>
  <c r="U25" i="13"/>
  <c r="S25" i="13"/>
  <c r="Q25" i="13"/>
  <c r="M25" i="13"/>
  <c r="K25" i="13"/>
  <c r="G25" i="13"/>
  <c r="E25" i="13"/>
  <c r="C25" i="13"/>
  <c r="AU24" i="13"/>
  <c r="AS24" i="13"/>
  <c r="AQ24" i="13"/>
  <c r="AM24" i="13"/>
  <c r="AK24" i="13"/>
  <c r="AI24" i="13"/>
  <c r="AG24" i="13"/>
  <c r="AE24" i="13"/>
  <c r="AC24" i="13"/>
  <c r="AA24" i="13"/>
  <c r="Y24" i="13"/>
  <c r="U24" i="13"/>
  <c r="S24" i="13"/>
  <c r="K24" i="13"/>
  <c r="I24" i="13"/>
  <c r="G24" i="13"/>
  <c r="E24" i="13"/>
  <c r="C24" i="13"/>
  <c r="AU23" i="13"/>
  <c r="AS23" i="13"/>
  <c r="AQ23" i="13"/>
  <c r="AM23" i="13"/>
  <c r="AK23" i="13"/>
  <c r="AI23" i="13"/>
  <c r="AG23" i="13"/>
  <c r="AE23" i="13"/>
  <c r="AA23" i="13"/>
  <c r="Y23" i="13"/>
  <c r="U23" i="13"/>
  <c r="S23" i="13"/>
  <c r="O23" i="13"/>
  <c r="K23" i="13"/>
  <c r="G23" i="13"/>
  <c r="E23" i="13"/>
  <c r="C23" i="13"/>
  <c r="AU21" i="13"/>
  <c r="AS21" i="13"/>
  <c r="AQ21" i="13"/>
  <c r="AM21" i="13"/>
  <c r="AK21" i="13"/>
  <c r="AI21" i="13"/>
  <c r="AG21" i="13"/>
  <c r="AE21" i="13"/>
  <c r="AC21" i="13"/>
  <c r="Y21" i="13"/>
  <c r="W21" i="13"/>
  <c r="U21" i="13"/>
  <c r="S21" i="13"/>
  <c r="M21" i="13"/>
  <c r="I21" i="13"/>
  <c r="G21" i="13"/>
  <c r="E21" i="13"/>
  <c r="C21" i="13"/>
  <c r="AU19" i="13"/>
  <c r="AS19" i="13"/>
  <c r="AQ19" i="13"/>
  <c r="AM19" i="13"/>
  <c r="AK19" i="13"/>
  <c r="AI19" i="13"/>
  <c r="AG19" i="13"/>
  <c r="AE19" i="13"/>
  <c r="W19" i="13"/>
  <c r="U19" i="13"/>
  <c r="S19" i="13"/>
  <c r="M19" i="13"/>
  <c r="G19" i="13"/>
  <c r="E19" i="13"/>
  <c r="C19" i="13"/>
  <c r="AU17" i="13"/>
  <c r="AS17" i="13"/>
  <c r="AQ17" i="13"/>
  <c r="AM17" i="13"/>
  <c r="AK17" i="13"/>
  <c r="AI17" i="13"/>
  <c r="AG17" i="13"/>
  <c r="AE17" i="13"/>
  <c r="U17" i="13"/>
  <c r="S17" i="13"/>
  <c r="O17" i="13"/>
  <c r="G17" i="13"/>
  <c r="E17" i="13"/>
  <c r="C17" i="13"/>
  <c r="AU16" i="13"/>
  <c r="AS16" i="13"/>
  <c r="AQ16" i="13"/>
  <c r="AM16" i="13"/>
  <c r="AK16" i="13"/>
  <c r="AI16" i="13"/>
  <c r="AG16" i="13"/>
  <c r="AE16" i="13"/>
  <c r="AC16" i="13"/>
  <c r="AA16" i="13"/>
  <c r="W16" i="13"/>
  <c r="U16" i="13"/>
  <c r="S16" i="13"/>
  <c r="M16" i="13"/>
  <c r="K16" i="13"/>
  <c r="I16" i="13"/>
  <c r="G16" i="13"/>
  <c r="E16" i="13"/>
  <c r="C16" i="13"/>
  <c r="AU15" i="13"/>
  <c r="AS15" i="13"/>
  <c r="AQ15" i="13"/>
  <c r="AM15" i="13"/>
  <c r="AK15" i="13"/>
  <c r="AI15" i="13"/>
  <c r="AG15" i="13"/>
  <c r="AE15" i="13"/>
  <c r="AA15" i="13"/>
  <c r="W15" i="13"/>
  <c r="U15" i="13"/>
  <c r="S15" i="13"/>
  <c r="M15" i="13"/>
  <c r="K15" i="13"/>
  <c r="I15" i="13"/>
  <c r="G15" i="13"/>
  <c r="E15" i="13"/>
  <c r="C15" i="13"/>
  <c r="AU14" i="13"/>
  <c r="AS14" i="13"/>
  <c r="AQ14" i="13"/>
  <c r="AM14" i="13"/>
  <c r="AK14" i="13"/>
  <c r="AI14" i="13"/>
  <c r="AG14" i="13"/>
  <c r="AE14" i="13"/>
  <c r="AC14" i="13"/>
  <c r="W14" i="13"/>
  <c r="U14" i="13"/>
  <c r="S14" i="13"/>
  <c r="M14" i="13"/>
  <c r="K14" i="13"/>
  <c r="G14" i="13"/>
  <c r="E14" i="13"/>
  <c r="C14" i="13"/>
  <c r="AU13" i="13"/>
  <c r="AS13" i="13"/>
  <c r="AQ13" i="13"/>
  <c r="AM13" i="13"/>
  <c r="AK13" i="13"/>
  <c r="AI13" i="13"/>
  <c r="AG13" i="13"/>
  <c r="AE13" i="13"/>
  <c r="AA13" i="13"/>
  <c r="W13" i="13"/>
  <c r="U13" i="13"/>
  <c r="S13" i="13"/>
  <c r="M13" i="13"/>
  <c r="K13" i="13"/>
  <c r="G13" i="13"/>
  <c r="E13" i="13"/>
  <c r="C13" i="13"/>
  <c r="AU12" i="13"/>
  <c r="AS12" i="13"/>
  <c r="AQ12" i="13"/>
  <c r="AM12" i="13"/>
  <c r="AK12" i="13"/>
  <c r="AI12" i="13"/>
  <c r="AG12" i="13"/>
  <c r="AE12" i="13"/>
  <c r="AA12" i="13"/>
  <c r="U12" i="13"/>
  <c r="S12" i="13"/>
  <c r="Q12" i="13"/>
  <c r="O12" i="13"/>
  <c r="K12" i="13"/>
  <c r="I12" i="13"/>
  <c r="G12" i="13"/>
  <c r="E12" i="13"/>
  <c r="C12" i="13"/>
  <c r="AU11" i="13"/>
  <c r="AS11" i="13"/>
  <c r="AQ11" i="13"/>
  <c r="AM11" i="13"/>
  <c r="AK11" i="13"/>
  <c r="AI11" i="13"/>
  <c r="AG11" i="13"/>
  <c r="AE11" i="13"/>
  <c r="AA11" i="13"/>
  <c r="W11" i="13"/>
  <c r="U11" i="13"/>
  <c r="S11" i="13"/>
  <c r="M11" i="13"/>
  <c r="K11" i="13"/>
  <c r="G11" i="13"/>
  <c r="E11" i="13"/>
  <c r="C11" i="13"/>
  <c r="AO29" i="13"/>
  <c r="AO33" i="13" s="1"/>
  <c r="AC10" i="13"/>
  <c r="AG9" i="13"/>
  <c r="AE9" i="13"/>
  <c r="AC9" i="13"/>
  <c r="AA9" i="13"/>
  <c r="Y9" i="13"/>
  <c r="W9" i="13"/>
  <c r="U9" i="13"/>
  <c r="S9" i="13"/>
  <c r="Q9" i="13"/>
  <c r="O9" i="13"/>
  <c r="M9" i="13"/>
  <c r="K9" i="13"/>
  <c r="I9" i="13"/>
  <c r="G9" i="13"/>
  <c r="E9" i="13"/>
  <c r="C9" i="13"/>
  <c r="AG8" i="13"/>
  <c r="AE8" i="13"/>
  <c r="AC8" i="13"/>
  <c r="AA8" i="13"/>
  <c r="Y8" i="13"/>
  <c r="W8" i="13"/>
  <c r="U8" i="13"/>
  <c r="S8" i="13"/>
  <c r="Q8" i="13"/>
  <c r="O8" i="13"/>
  <c r="M8" i="13"/>
  <c r="K8" i="13"/>
  <c r="I8" i="13"/>
  <c r="G8" i="13"/>
  <c r="E8" i="13"/>
  <c r="C8" i="13"/>
  <c r="AG7" i="13"/>
  <c r="AE7" i="13"/>
  <c r="AC7" i="13"/>
  <c r="AA7" i="13"/>
  <c r="Y7" i="13"/>
  <c r="W7" i="13"/>
  <c r="U7" i="13"/>
  <c r="S7" i="13"/>
  <c r="Q7" i="13"/>
  <c r="O7" i="13"/>
  <c r="M7" i="13"/>
  <c r="K7" i="13"/>
  <c r="I7" i="13"/>
  <c r="G7" i="13"/>
  <c r="E7" i="13"/>
  <c r="C7" i="13"/>
  <c r="AC6" i="13"/>
  <c r="AS18" i="2"/>
  <c r="AQ18" i="2"/>
  <c r="AO18" i="2"/>
  <c r="AM18" i="2"/>
  <c r="AG18" i="2"/>
  <c r="AE18" i="2"/>
  <c r="AC18" i="2"/>
  <c r="AA18" i="2"/>
  <c r="Y18" i="2"/>
  <c r="W18" i="2"/>
  <c r="U18" i="2"/>
  <c r="S18" i="2"/>
  <c r="Q18" i="2"/>
  <c r="O18" i="2"/>
  <c r="M18" i="2"/>
  <c r="K18" i="2"/>
  <c r="I18" i="2"/>
  <c r="G18" i="2"/>
  <c r="E18" i="2"/>
  <c r="C18" i="2"/>
  <c r="BE11" i="12"/>
  <c r="BC11" i="12"/>
  <c r="BA11" i="12"/>
  <c r="AY11" i="12"/>
  <c r="AW11" i="12"/>
  <c r="AU11" i="12"/>
  <c r="AO11" i="12"/>
  <c r="AM11" i="12"/>
  <c r="AK11" i="12"/>
  <c r="AI11" i="12"/>
  <c r="AG11" i="12"/>
  <c r="AE11" i="12"/>
  <c r="AA11" i="12"/>
  <c r="W11" i="12"/>
  <c r="U11" i="12"/>
  <c r="S11" i="12"/>
  <c r="K11" i="12"/>
  <c r="G11" i="12"/>
  <c r="E11" i="12"/>
  <c r="C11" i="12"/>
  <c r="AC10" i="12"/>
  <c r="AK9" i="12"/>
  <c r="AI9" i="12"/>
  <c r="AG9" i="12"/>
  <c r="AE9" i="12"/>
  <c r="AC9" i="12"/>
  <c r="AA9" i="12"/>
  <c r="Y9" i="12"/>
  <c r="W9" i="12"/>
  <c r="U9" i="12"/>
  <c r="S9" i="12"/>
  <c r="Q9" i="12"/>
  <c r="O9" i="12"/>
  <c r="M9" i="12"/>
  <c r="K9" i="12"/>
  <c r="I9" i="12"/>
  <c r="G9" i="12"/>
  <c r="E9" i="12"/>
  <c r="C9" i="12"/>
  <c r="AK8" i="12"/>
  <c r="AI8" i="12"/>
  <c r="AG8" i="12"/>
  <c r="AE8" i="12"/>
  <c r="AC8" i="12"/>
  <c r="AA8" i="12"/>
  <c r="Y8" i="12"/>
  <c r="W8" i="12"/>
  <c r="U8" i="12"/>
  <c r="S8" i="12"/>
  <c r="Q8" i="12"/>
  <c r="O8" i="12"/>
  <c r="M8" i="12"/>
  <c r="K8" i="12"/>
  <c r="I8" i="12"/>
  <c r="G8" i="12"/>
  <c r="E8" i="12"/>
  <c r="C8" i="12"/>
  <c r="AK7" i="12"/>
  <c r="AI7" i="12"/>
  <c r="AG7" i="12"/>
  <c r="AE7" i="12"/>
  <c r="AC7" i="12"/>
  <c r="AA7" i="12"/>
  <c r="Y7" i="12"/>
  <c r="W7" i="12"/>
  <c r="U7" i="12"/>
  <c r="S7" i="12"/>
  <c r="Q7" i="12"/>
  <c r="O7" i="12"/>
  <c r="M7" i="12"/>
  <c r="K7" i="12"/>
  <c r="I7" i="12"/>
  <c r="G7" i="12"/>
  <c r="E7" i="12"/>
  <c r="C7" i="12"/>
  <c r="AK6" i="12"/>
  <c r="AC6" i="12"/>
  <c r="AG17" i="2"/>
  <c r="AE17" i="2"/>
  <c r="AC17" i="2"/>
  <c r="AA17" i="2"/>
  <c r="Y17" i="2"/>
  <c r="W17" i="2"/>
  <c r="U17" i="2"/>
  <c r="S17" i="2"/>
  <c r="Q17" i="2"/>
  <c r="O17" i="2"/>
  <c r="M17" i="2"/>
  <c r="K17" i="2"/>
  <c r="I17" i="2"/>
  <c r="G17" i="2"/>
  <c r="E17" i="2"/>
  <c r="C17" i="2"/>
  <c r="AY11" i="11"/>
  <c r="AW11" i="11"/>
  <c r="AW13" i="11" s="1"/>
  <c r="AW17" i="11" s="1"/>
  <c r="AU11" i="11"/>
  <c r="AU13" i="11" s="1"/>
  <c r="AU17" i="11" s="1"/>
  <c r="AS11" i="11"/>
  <c r="AQ11" i="11"/>
  <c r="AM11" i="11"/>
  <c r="AK11" i="11"/>
  <c r="AI11" i="11"/>
  <c r="AG11" i="11"/>
  <c r="AE11" i="11"/>
  <c r="AA11" i="11"/>
  <c r="Y11" i="11"/>
  <c r="W11" i="11"/>
  <c r="U11" i="11"/>
  <c r="S11" i="11"/>
  <c r="O11" i="11"/>
  <c r="M11" i="11"/>
  <c r="K11" i="11"/>
  <c r="I11" i="11"/>
  <c r="G11" i="11"/>
  <c r="E11" i="11"/>
  <c r="C11" i="11"/>
  <c r="AC10" i="11"/>
  <c r="AK9" i="11"/>
  <c r="AI9" i="11"/>
  <c r="AG9" i="11"/>
  <c r="AE9" i="11"/>
  <c r="AC9" i="11"/>
  <c r="AA9" i="11"/>
  <c r="Y9" i="11"/>
  <c r="W9" i="11"/>
  <c r="U9" i="11"/>
  <c r="S9" i="11"/>
  <c r="Q9" i="11"/>
  <c r="O9" i="11"/>
  <c r="M9" i="11"/>
  <c r="K9" i="11"/>
  <c r="I9" i="11"/>
  <c r="G9" i="11"/>
  <c r="E9" i="11"/>
  <c r="C9" i="11"/>
  <c r="AK8" i="11"/>
  <c r="AI8" i="11"/>
  <c r="AG8" i="11"/>
  <c r="AE8" i="11"/>
  <c r="AC8" i="11"/>
  <c r="AA8" i="11"/>
  <c r="Y8" i="11"/>
  <c r="W8" i="11"/>
  <c r="U8" i="11"/>
  <c r="S8" i="11"/>
  <c r="Q8" i="11"/>
  <c r="O8" i="11"/>
  <c r="M8" i="11"/>
  <c r="K8" i="11"/>
  <c r="I8" i="11"/>
  <c r="G8" i="11"/>
  <c r="E8" i="11"/>
  <c r="C8" i="11"/>
  <c r="AK7" i="11"/>
  <c r="AI7" i="11"/>
  <c r="AG7" i="11"/>
  <c r="AE7" i="11"/>
  <c r="AC7" i="11"/>
  <c r="AA7" i="11"/>
  <c r="Y7" i="11"/>
  <c r="W7" i="11"/>
  <c r="U7" i="11"/>
  <c r="S7" i="11"/>
  <c r="Q7" i="11"/>
  <c r="O7" i="11"/>
  <c r="M7" i="11"/>
  <c r="K7" i="11"/>
  <c r="I7" i="11"/>
  <c r="G7" i="11"/>
  <c r="E7" i="11"/>
  <c r="C7" i="11"/>
  <c r="AK6" i="11"/>
  <c r="AC6" i="11"/>
  <c r="AK16" i="2"/>
  <c r="AI16" i="2"/>
  <c r="AG16" i="2"/>
  <c r="AE16" i="2"/>
  <c r="AC16" i="2"/>
  <c r="AA16" i="2"/>
  <c r="Y16" i="2"/>
  <c r="W16" i="2"/>
  <c r="U16" i="2"/>
  <c r="S16" i="2"/>
  <c r="Q16" i="2"/>
  <c r="M16" i="2"/>
  <c r="K16" i="2"/>
  <c r="I16" i="2"/>
  <c r="C16" i="2"/>
  <c r="BY32" i="10"/>
  <c r="BW32" i="10"/>
  <c r="BU32" i="10"/>
  <c r="BS32" i="10"/>
  <c r="BQ32" i="10"/>
  <c r="BO32" i="10"/>
  <c r="BM32" i="10"/>
  <c r="BK32" i="10"/>
  <c r="BI32" i="10"/>
  <c r="BG32" i="10"/>
  <c r="BE32" i="10"/>
  <c r="BC32" i="10"/>
  <c r="BA32" i="10"/>
  <c r="AY32" i="10"/>
  <c r="AW32" i="10"/>
  <c r="AU32" i="10"/>
  <c r="AS32" i="10"/>
  <c r="AQ32" i="10"/>
  <c r="AO32" i="10"/>
  <c r="AM32" i="10"/>
  <c r="AG32" i="10"/>
  <c r="AE32" i="10"/>
  <c r="AC32" i="10"/>
  <c r="AA32" i="10"/>
  <c r="W32" i="10"/>
  <c r="U32" i="10"/>
  <c r="S32" i="10"/>
  <c r="M32" i="10"/>
  <c r="K32" i="10"/>
  <c r="I32" i="10"/>
  <c r="E32" i="10"/>
  <c r="C32" i="10"/>
  <c r="BY31" i="10"/>
  <c r="BW31" i="10"/>
  <c r="BU31" i="10"/>
  <c r="BS31" i="10"/>
  <c r="BQ31" i="10"/>
  <c r="BO31" i="10"/>
  <c r="BM31" i="10"/>
  <c r="BK31" i="10"/>
  <c r="BI31" i="10"/>
  <c r="BG31" i="10"/>
  <c r="BE31" i="10"/>
  <c r="BC31" i="10"/>
  <c r="BA31" i="10"/>
  <c r="AY31" i="10"/>
  <c r="AW31" i="10"/>
  <c r="AU31" i="10"/>
  <c r="AS31" i="10"/>
  <c r="AO31" i="10"/>
  <c r="AM31" i="10"/>
  <c r="AG31" i="10"/>
  <c r="AE31" i="10"/>
  <c r="AC31" i="10"/>
  <c r="AA31" i="10"/>
  <c r="Y31" i="10"/>
  <c r="U31" i="10"/>
  <c r="S31" i="10"/>
  <c r="M31" i="10"/>
  <c r="K31" i="10"/>
  <c r="G31" i="10"/>
  <c r="E31" i="10"/>
  <c r="C31" i="10"/>
  <c r="BY30" i="10"/>
  <c r="BW30" i="10"/>
  <c r="BU30" i="10"/>
  <c r="BS30" i="10"/>
  <c r="BQ30" i="10"/>
  <c r="BO30" i="10"/>
  <c r="BM30" i="10"/>
  <c r="BK30" i="10"/>
  <c r="BI30" i="10"/>
  <c r="BG30" i="10"/>
  <c r="BE30" i="10"/>
  <c r="BC30" i="10"/>
  <c r="BA30" i="10"/>
  <c r="AY30" i="10"/>
  <c r="AW30" i="10"/>
  <c r="AU30" i="10"/>
  <c r="AS30" i="10"/>
  <c r="AQ30" i="10"/>
  <c r="AO30" i="10"/>
  <c r="AM30" i="10"/>
  <c r="AG30" i="10"/>
  <c r="AE30" i="10"/>
  <c r="Y30" i="10"/>
  <c r="U30" i="10"/>
  <c r="S30" i="10"/>
  <c r="M30" i="10"/>
  <c r="K30" i="10"/>
  <c r="G30" i="10"/>
  <c r="E30" i="10"/>
  <c r="C30" i="10"/>
  <c r="BY29" i="10"/>
  <c r="BW29" i="10"/>
  <c r="BU29" i="10"/>
  <c r="BS29" i="10"/>
  <c r="BQ29" i="10"/>
  <c r="BO29" i="10"/>
  <c r="BM29" i="10"/>
  <c r="BK29" i="10"/>
  <c r="BI29" i="10"/>
  <c r="BG29" i="10"/>
  <c r="BE29" i="10"/>
  <c r="BC29" i="10"/>
  <c r="BA29" i="10"/>
  <c r="AY29" i="10"/>
  <c r="AW29" i="10"/>
  <c r="AU29" i="10"/>
  <c r="AS29" i="10"/>
  <c r="AQ29" i="10"/>
  <c r="AO29" i="10"/>
  <c r="AM29" i="10"/>
  <c r="AG29" i="10"/>
  <c r="AE29" i="10"/>
  <c r="AA29" i="10"/>
  <c r="W29" i="10"/>
  <c r="U29" i="10"/>
  <c r="S29" i="10"/>
  <c r="M29" i="10"/>
  <c r="K29" i="10"/>
  <c r="E29" i="10"/>
  <c r="C29" i="10"/>
  <c r="BY28" i="10"/>
  <c r="BU28" i="10"/>
  <c r="BS28" i="10"/>
  <c r="BQ28" i="10"/>
  <c r="BO28" i="10"/>
  <c r="BM28" i="10"/>
  <c r="BK28" i="10"/>
  <c r="BI28" i="10"/>
  <c r="BG28" i="10"/>
  <c r="BE28" i="10"/>
  <c r="BC28" i="10"/>
  <c r="BA28" i="10"/>
  <c r="AY28" i="10"/>
  <c r="AW28" i="10"/>
  <c r="AU28" i="10"/>
  <c r="AS28" i="10"/>
  <c r="AQ28" i="10"/>
  <c r="AO28" i="10"/>
  <c r="AM28" i="10"/>
  <c r="AG28" i="10"/>
  <c r="AE28" i="10"/>
  <c r="AA28" i="10"/>
  <c r="Y28" i="10"/>
  <c r="U28" i="10"/>
  <c r="S28" i="10"/>
  <c r="O28" i="10"/>
  <c r="K28" i="10"/>
  <c r="I28" i="10"/>
  <c r="G28" i="10"/>
  <c r="E28" i="10"/>
  <c r="C28" i="10"/>
  <c r="BY27" i="10"/>
  <c r="BW27" i="10"/>
  <c r="BU27" i="10"/>
  <c r="BS27" i="10"/>
  <c r="BQ27" i="10"/>
  <c r="BO27" i="10"/>
  <c r="BM27" i="10"/>
  <c r="BK27" i="10"/>
  <c r="BI27" i="10"/>
  <c r="BG27" i="10"/>
  <c r="BE27" i="10"/>
  <c r="BC27" i="10"/>
  <c r="BA27" i="10"/>
  <c r="AY27" i="10"/>
  <c r="AW27" i="10"/>
  <c r="AU27" i="10"/>
  <c r="AS27" i="10"/>
  <c r="AQ27" i="10"/>
  <c r="AO27" i="10"/>
  <c r="AM27" i="10"/>
  <c r="AG27" i="10"/>
  <c r="AE27" i="10"/>
  <c r="AC27" i="10"/>
  <c r="AA27" i="10"/>
  <c r="Y27" i="10"/>
  <c r="W27" i="10"/>
  <c r="U27" i="10"/>
  <c r="S27" i="10"/>
  <c r="M27" i="10"/>
  <c r="K27" i="10"/>
  <c r="I27" i="10"/>
  <c r="G27" i="10"/>
  <c r="E27" i="10"/>
  <c r="C27" i="10"/>
  <c r="BY26" i="10"/>
  <c r="BW26" i="10"/>
  <c r="BU26" i="10"/>
  <c r="BS26" i="10"/>
  <c r="BQ26" i="10"/>
  <c r="BO26" i="10"/>
  <c r="BM26" i="10"/>
  <c r="BK26" i="10"/>
  <c r="BI26" i="10"/>
  <c r="BG26" i="10"/>
  <c r="BE26" i="10"/>
  <c r="BC26" i="10"/>
  <c r="BA26" i="10"/>
  <c r="AY26" i="10"/>
  <c r="AW26" i="10"/>
  <c r="AU26" i="10"/>
  <c r="AS26" i="10"/>
  <c r="AQ26" i="10"/>
  <c r="AO26" i="10"/>
  <c r="AM26" i="10"/>
  <c r="AG26" i="10"/>
  <c r="AE26" i="10"/>
  <c r="AC26" i="10"/>
  <c r="AA26" i="10"/>
  <c r="Y26" i="10"/>
  <c r="W26" i="10"/>
  <c r="U26" i="10"/>
  <c r="S26" i="10"/>
  <c r="M26" i="10"/>
  <c r="K26" i="10"/>
  <c r="G26" i="10"/>
  <c r="E26" i="10"/>
  <c r="C26" i="10"/>
  <c r="BY25" i="10"/>
  <c r="BW25" i="10"/>
  <c r="BU25" i="10"/>
  <c r="BS25" i="10"/>
  <c r="BQ25" i="10"/>
  <c r="BO25" i="10"/>
  <c r="BM25" i="10"/>
  <c r="BK25" i="10"/>
  <c r="BI25" i="10"/>
  <c r="BG25" i="10"/>
  <c r="BE25" i="10"/>
  <c r="BC25" i="10"/>
  <c r="BA25" i="10"/>
  <c r="AY25" i="10"/>
  <c r="AW25" i="10"/>
  <c r="AU25" i="10"/>
  <c r="AS25" i="10"/>
  <c r="AQ25" i="10"/>
  <c r="AO25" i="10"/>
  <c r="AM25" i="10"/>
  <c r="AG25" i="10"/>
  <c r="AE25" i="10"/>
  <c r="AC25" i="10"/>
  <c r="U25" i="10"/>
  <c r="S25" i="10"/>
  <c r="M25" i="10"/>
  <c r="G25" i="10"/>
  <c r="E25" i="10"/>
  <c r="C25" i="10"/>
  <c r="BY24" i="10"/>
  <c r="BW24" i="10"/>
  <c r="BU24" i="10"/>
  <c r="BS24" i="10"/>
  <c r="BQ24" i="10"/>
  <c r="BO24" i="10"/>
  <c r="BM24" i="10"/>
  <c r="BK24" i="10"/>
  <c r="BI24" i="10"/>
  <c r="BG24" i="10"/>
  <c r="BE24" i="10"/>
  <c r="BC24" i="10"/>
  <c r="BA24" i="10"/>
  <c r="AY24" i="10"/>
  <c r="AW24" i="10"/>
  <c r="AS24" i="10"/>
  <c r="AQ24" i="10"/>
  <c r="AO24" i="10"/>
  <c r="AM24" i="10"/>
  <c r="AG24" i="10"/>
  <c r="AE24" i="10"/>
  <c r="U24" i="10"/>
  <c r="S24" i="10"/>
  <c r="O24" i="10"/>
  <c r="G24" i="10"/>
  <c r="E24" i="10"/>
  <c r="C24" i="10"/>
  <c r="BY23" i="10"/>
  <c r="BW23" i="10"/>
  <c r="BU23" i="10"/>
  <c r="BS23" i="10"/>
  <c r="BQ23" i="10"/>
  <c r="BO23" i="10"/>
  <c r="BM23" i="10"/>
  <c r="BK23" i="10"/>
  <c r="BI23" i="10"/>
  <c r="BG23" i="10"/>
  <c r="BE23" i="10"/>
  <c r="BC23" i="10"/>
  <c r="BA23" i="10"/>
  <c r="AY23" i="10"/>
  <c r="AW23" i="10"/>
  <c r="AU23" i="10"/>
  <c r="AS23" i="10"/>
  <c r="AQ23" i="10"/>
  <c r="AO23" i="10"/>
  <c r="AM23" i="10"/>
  <c r="AG23" i="10"/>
  <c r="AE23" i="10"/>
  <c r="W23" i="10"/>
  <c r="U23" i="10"/>
  <c r="S23" i="10"/>
  <c r="I23" i="10"/>
  <c r="G23" i="10"/>
  <c r="E23" i="10"/>
  <c r="C23" i="10"/>
  <c r="BY22" i="10"/>
  <c r="BW22" i="10"/>
  <c r="BU22" i="10"/>
  <c r="BS22" i="10"/>
  <c r="BQ22" i="10"/>
  <c r="BO22" i="10"/>
  <c r="BM22" i="10"/>
  <c r="BK22" i="10"/>
  <c r="BI22" i="10"/>
  <c r="BG22" i="10"/>
  <c r="BE22" i="10"/>
  <c r="BC22" i="10"/>
  <c r="BA22" i="10"/>
  <c r="AY22" i="10"/>
  <c r="AW22" i="10"/>
  <c r="AU22" i="10"/>
  <c r="AS22" i="10"/>
  <c r="AQ22" i="10"/>
  <c r="AO22" i="10"/>
  <c r="AM22" i="10"/>
  <c r="AG22" i="10"/>
  <c r="AE22" i="10"/>
  <c r="AA22" i="10"/>
  <c r="Y22" i="10"/>
  <c r="W22" i="10"/>
  <c r="U22" i="10"/>
  <c r="S22" i="10"/>
  <c r="K22" i="10"/>
  <c r="I22" i="10"/>
  <c r="G22" i="10"/>
  <c r="E22" i="10"/>
  <c r="C22" i="10"/>
  <c r="BY21" i="10"/>
  <c r="BS21" i="10"/>
  <c r="BQ21" i="10"/>
  <c r="BO21" i="10"/>
  <c r="BM21" i="10"/>
  <c r="BK21" i="10"/>
  <c r="BI21" i="10"/>
  <c r="BG21" i="10"/>
  <c r="BE21" i="10"/>
  <c r="BC21" i="10"/>
  <c r="BA21" i="10"/>
  <c r="AY21" i="10"/>
  <c r="AW21" i="10"/>
  <c r="AU21" i="10"/>
  <c r="AS21" i="10"/>
  <c r="AQ21" i="10"/>
  <c r="AO21" i="10"/>
  <c r="AM21" i="10"/>
  <c r="AG21" i="10"/>
  <c r="AE21" i="10"/>
  <c r="AC21" i="10"/>
  <c r="Y21" i="10"/>
  <c r="W21" i="10"/>
  <c r="U21" i="10"/>
  <c r="S21" i="10"/>
  <c r="M21" i="10"/>
  <c r="I21" i="10"/>
  <c r="G21" i="10"/>
  <c r="E21" i="10"/>
  <c r="C21" i="10"/>
  <c r="BY20" i="10"/>
  <c r="BW20" i="10"/>
  <c r="BU20" i="10"/>
  <c r="BS20" i="10"/>
  <c r="BQ20" i="10"/>
  <c r="BO20" i="10"/>
  <c r="BM20" i="10"/>
  <c r="BK20" i="10"/>
  <c r="BI20" i="10"/>
  <c r="BG20" i="10"/>
  <c r="BE20" i="10"/>
  <c r="BC20" i="10"/>
  <c r="BA20" i="10"/>
  <c r="AY20" i="10"/>
  <c r="AW20" i="10"/>
  <c r="AU20" i="10"/>
  <c r="AS20" i="10"/>
  <c r="AQ20" i="10"/>
  <c r="AO20" i="10"/>
  <c r="AM20" i="10"/>
  <c r="AG20" i="10"/>
  <c r="AE20" i="10"/>
  <c r="AC20" i="10"/>
  <c r="AA20" i="10"/>
  <c r="Y20" i="10"/>
  <c r="U20" i="10"/>
  <c r="S20" i="10"/>
  <c r="O20" i="10"/>
  <c r="M20" i="10"/>
  <c r="I20" i="10"/>
  <c r="G20" i="10"/>
  <c r="C20" i="10"/>
  <c r="BY19" i="10"/>
  <c r="BW19" i="10"/>
  <c r="BU19" i="10"/>
  <c r="BS19" i="10"/>
  <c r="BQ19" i="10"/>
  <c r="BO19" i="10"/>
  <c r="BM19" i="10"/>
  <c r="BK19" i="10"/>
  <c r="BI19" i="10"/>
  <c r="BG19" i="10"/>
  <c r="BE19" i="10"/>
  <c r="BC19" i="10"/>
  <c r="BA19" i="10"/>
  <c r="AY19" i="10"/>
  <c r="AW19" i="10"/>
  <c r="AU19" i="10"/>
  <c r="AS19" i="10"/>
  <c r="AQ19" i="10"/>
  <c r="AO19" i="10"/>
  <c r="AM19" i="10"/>
  <c r="AG19" i="10"/>
  <c r="AE19" i="10"/>
  <c r="AC19" i="10"/>
  <c r="AA19" i="10"/>
  <c r="Y19" i="10"/>
  <c r="W19" i="10"/>
  <c r="U19" i="10"/>
  <c r="S19" i="10"/>
  <c r="K19" i="10"/>
  <c r="I19" i="10"/>
  <c r="G19" i="10"/>
  <c r="E19" i="10"/>
  <c r="C19" i="10"/>
  <c r="BY18" i="10"/>
  <c r="BW18" i="10"/>
  <c r="BU18" i="10"/>
  <c r="BS18" i="10"/>
  <c r="BQ18" i="10"/>
  <c r="BO18" i="10"/>
  <c r="BM18" i="10"/>
  <c r="BK18" i="10"/>
  <c r="BI18" i="10"/>
  <c r="BG18" i="10"/>
  <c r="BE18" i="10"/>
  <c r="BC18" i="10"/>
  <c r="BA18" i="10"/>
  <c r="AY18" i="10"/>
  <c r="AW18" i="10"/>
  <c r="AU18" i="10"/>
  <c r="AS18" i="10"/>
  <c r="AQ18" i="10"/>
  <c r="AO18" i="10"/>
  <c r="AM18" i="10"/>
  <c r="AG18" i="10"/>
  <c r="AE18" i="10"/>
  <c r="AA18" i="10"/>
  <c r="W18" i="10"/>
  <c r="U18" i="10"/>
  <c r="S18" i="10"/>
  <c r="O18" i="10"/>
  <c r="M18" i="10"/>
  <c r="K18" i="10"/>
  <c r="G18" i="10"/>
  <c r="E18" i="10"/>
  <c r="C18" i="10"/>
  <c r="BY17" i="10"/>
  <c r="BW17" i="10"/>
  <c r="BU17" i="10"/>
  <c r="BS17" i="10"/>
  <c r="BQ17" i="10"/>
  <c r="BO17" i="10"/>
  <c r="BM17" i="10"/>
  <c r="BK17" i="10"/>
  <c r="BI17" i="10"/>
  <c r="BG17" i="10"/>
  <c r="BE17" i="10"/>
  <c r="BC17" i="10"/>
  <c r="BA17" i="10"/>
  <c r="AY17" i="10"/>
  <c r="AW17" i="10"/>
  <c r="AU17" i="10"/>
  <c r="AS17" i="10"/>
  <c r="AQ17" i="10"/>
  <c r="AO17" i="10"/>
  <c r="AM17" i="10"/>
  <c r="AG17" i="10"/>
  <c r="AE17" i="10"/>
  <c r="AA17" i="10"/>
  <c r="Y17" i="10"/>
  <c r="U17" i="10"/>
  <c r="S17" i="10"/>
  <c r="M17" i="10"/>
  <c r="K17" i="10"/>
  <c r="I17" i="10"/>
  <c r="G17" i="10"/>
  <c r="E17" i="10"/>
  <c r="C17" i="10"/>
  <c r="BY16" i="10"/>
  <c r="BW16" i="10"/>
  <c r="BU16" i="10"/>
  <c r="BS16" i="10"/>
  <c r="BQ16" i="10"/>
  <c r="BO16" i="10"/>
  <c r="BM16" i="10"/>
  <c r="BK16" i="10"/>
  <c r="BI16" i="10"/>
  <c r="BG16" i="10"/>
  <c r="BE16" i="10"/>
  <c r="BC16" i="10"/>
  <c r="BA16" i="10"/>
  <c r="AY16" i="10"/>
  <c r="AW16" i="10"/>
  <c r="AU16" i="10"/>
  <c r="AS16" i="10"/>
  <c r="AQ16" i="10"/>
  <c r="AO16" i="10"/>
  <c r="AM16" i="10"/>
  <c r="AG16" i="10"/>
  <c r="AE16" i="10"/>
  <c r="AC16" i="10"/>
  <c r="AA16" i="10"/>
  <c r="W16" i="10"/>
  <c r="U16" i="10"/>
  <c r="S16" i="10"/>
  <c r="Q16" i="10"/>
  <c r="M16" i="10"/>
  <c r="K16" i="10"/>
  <c r="I16" i="10"/>
  <c r="G16" i="10"/>
  <c r="E16" i="10"/>
  <c r="C16" i="10"/>
  <c r="BY15" i="10"/>
  <c r="BW15" i="10"/>
  <c r="BU15" i="10"/>
  <c r="BS15" i="10"/>
  <c r="BQ15" i="10"/>
  <c r="BO15" i="10"/>
  <c r="BM15" i="10"/>
  <c r="BK15" i="10"/>
  <c r="BI15" i="10"/>
  <c r="BG15" i="10"/>
  <c r="BE15" i="10"/>
  <c r="BC15" i="10"/>
  <c r="BA15" i="10"/>
  <c r="AY15" i="10"/>
  <c r="AW15" i="10"/>
  <c r="AU15" i="10"/>
  <c r="AS15" i="10"/>
  <c r="AQ15" i="10"/>
  <c r="AO15" i="10"/>
  <c r="AM15" i="10"/>
  <c r="AK15" i="10"/>
  <c r="AI15" i="10"/>
  <c r="AG15" i="10"/>
  <c r="AE15" i="10"/>
  <c r="AC15" i="10"/>
  <c r="W15" i="10"/>
  <c r="U15" i="10"/>
  <c r="S15" i="10"/>
  <c r="Q15" i="10"/>
  <c r="O15" i="10"/>
  <c r="M15" i="10"/>
  <c r="K15" i="10"/>
  <c r="I15" i="10"/>
  <c r="G15" i="10"/>
  <c r="E15" i="10"/>
  <c r="C15" i="10"/>
  <c r="BY14" i="10"/>
  <c r="BW14" i="10"/>
  <c r="BU14" i="10"/>
  <c r="BS14" i="10"/>
  <c r="BQ14" i="10"/>
  <c r="BO14" i="10"/>
  <c r="BM14" i="10"/>
  <c r="BK14" i="10"/>
  <c r="BI14" i="10"/>
  <c r="BG14" i="10"/>
  <c r="BE14" i="10"/>
  <c r="BC14" i="10"/>
  <c r="BA14" i="10"/>
  <c r="AY14" i="10"/>
  <c r="AW14" i="10"/>
  <c r="AU14" i="10"/>
  <c r="AS14" i="10"/>
  <c r="AQ14" i="10"/>
  <c r="AO14" i="10"/>
  <c r="AM14" i="10"/>
  <c r="AG14" i="10"/>
  <c r="AE14" i="10"/>
  <c r="AA14" i="10"/>
  <c r="W14" i="10"/>
  <c r="U14" i="10"/>
  <c r="S14" i="10"/>
  <c r="M14" i="10"/>
  <c r="K14" i="10"/>
  <c r="G14" i="10"/>
  <c r="E14" i="10"/>
  <c r="C14" i="10"/>
  <c r="BY13" i="10"/>
  <c r="BW13" i="10"/>
  <c r="BU13" i="10"/>
  <c r="BS13" i="10"/>
  <c r="BQ13" i="10"/>
  <c r="BO13" i="10"/>
  <c r="BM13" i="10"/>
  <c r="BK13" i="10"/>
  <c r="BI13" i="10"/>
  <c r="BG13" i="10"/>
  <c r="BE13" i="10"/>
  <c r="BC13" i="10"/>
  <c r="BA13" i="10"/>
  <c r="AY13" i="10"/>
  <c r="AW13" i="10"/>
  <c r="AU13" i="10"/>
  <c r="AS13" i="10"/>
  <c r="AQ13" i="10"/>
  <c r="AO13" i="10"/>
  <c r="AM13" i="10"/>
  <c r="AG13" i="10"/>
  <c r="AE13" i="10"/>
  <c r="W13" i="10"/>
  <c r="S13" i="10"/>
  <c r="U13" i="10"/>
  <c r="O13" i="10"/>
  <c r="K13" i="10"/>
  <c r="G13" i="10"/>
  <c r="E13" i="10"/>
  <c r="C13" i="10"/>
  <c r="BY12" i="10"/>
  <c r="BW12" i="10"/>
  <c r="BU12" i="10"/>
  <c r="BS12" i="10"/>
  <c r="BQ12" i="10"/>
  <c r="BO12" i="10"/>
  <c r="BM12" i="10"/>
  <c r="BK12" i="10"/>
  <c r="BI12" i="10"/>
  <c r="BG12" i="10"/>
  <c r="BE12" i="10"/>
  <c r="BC12" i="10"/>
  <c r="BA12" i="10"/>
  <c r="AY12" i="10"/>
  <c r="AW12" i="10"/>
  <c r="AU12" i="10"/>
  <c r="AS12" i="10"/>
  <c r="AQ12" i="10"/>
  <c r="AO12" i="10"/>
  <c r="AM12" i="10"/>
  <c r="AG12" i="10"/>
  <c r="AE12" i="10"/>
  <c r="AA12" i="10"/>
  <c r="W12" i="10"/>
  <c r="U12" i="10"/>
  <c r="S12" i="10"/>
  <c r="M12" i="10"/>
  <c r="K12" i="10"/>
  <c r="I12" i="10"/>
  <c r="G12" i="10"/>
  <c r="E12" i="10"/>
  <c r="C12" i="10"/>
  <c r="BY11" i="10"/>
  <c r="BW11" i="10"/>
  <c r="BU11" i="10"/>
  <c r="BS11" i="10"/>
  <c r="BQ11" i="10"/>
  <c r="BO11" i="10"/>
  <c r="BM11" i="10"/>
  <c r="BK11" i="10"/>
  <c r="BI11" i="10"/>
  <c r="BG11" i="10"/>
  <c r="BE11" i="10"/>
  <c r="BC11" i="10"/>
  <c r="BA11" i="10"/>
  <c r="AY11" i="10"/>
  <c r="AW11" i="10"/>
  <c r="AU11" i="10"/>
  <c r="AS11" i="10"/>
  <c r="AQ11" i="10"/>
  <c r="AO11" i="10"/>
  <c r="AM11" i="10"/>
  <c r="AK11" i="10"/>
  <c r="AI11" i="10"/>
  <c r="AG11" i="10"/>
  <c r="AE11" i="10"/>
  <c r="AC11" i="10"/>
  <c r="U11" i="10"/>
  <c r="S11" i="10"/>
  <c r="M11" i="10"/>
  <c r="G11" i="10"/>
  <c r="E11" i="10"/>
  <c r="C11" i="10"/>
  <c r="AC10" i="10"/>
  <c r="AK9" i="10"/>
  <c r="AI9" i="10"/>
  <c r="AG9" i="10"/>
  <c r="AE9" i="10"/>
  <c r="AC9" i="10"/>
  <c r="AA9" i="10"/>
  <c r="Y9" i="10"/>
  <c r="W9" i="10"/>
  <c r="U9" i="10"/>
  <c r="S9" i="10"/>
  <c r="Q9" i="10"/>
  <c r="O9" i="10"/>
  <c r="M9" i="10"/>
  <c r="K9" i="10"/>
  <c r="I9" i="10"/>
  <c r="G9" i="10"/>
  <c r="E9" i="10"/>
  <c r="C9" i="10"/>
  <c r="AK8" i="10"/>
  <c r="AI8" i="10"/>
  <c r="AG8" i="10"/>
  <c r="AE8" i="10"/>
  <c r="AC8" i="10"/>
  <c r="AA8" i="10"/>
  <c r="Y8" i="10"/>
  <c r="W8" i="10"/>
  <c r="U8" i="10"/>
  <c r="S8" i="10"/>
  <c r="Q8" i="10"/>
  <c r="O8" i="10"/>
  <c r="M8" i="10"/>
  <c r="K8" i="10"/>
  <c r="I8" i="10"/>
  <c r="G8" i="10"/>
  <c r="E8" i="10"/>
  <c r="C8" i="10"/>
  <c r="AK7" i="10"/>
  <c r="AI7" i="10"/>
  <c r="AG7" i="10"/>
  <c r="AE7" i="10"/>
  <c r="AC7" i="10"/>
  <c r="AA7" i="10"/>
  <c r="Y7" i="10"/>
  <c r="W7" i="10"/>
  <c r="U7" i="10"/>
  <c r="S7" i="10"/>
  <c r="Q7" i="10"/>
  <c r="O7" i="10"/>
  <c r="M7" i="10"/>
  <c r="K7" i="10"/>
  <c r="I7" i="10"/>
  <c r="G7" i="10"/>
  <c r="E7" i="10"/>
  <c r="C7" i="10"/>
  <c r="AC6" i="10"/>
  <c r="AO15" i="2"/>
  <c r="AM15" i="2"/>
  <c r="AS15" i="2"/>
  <c r="AQ15" i="2"/>
  <c r="AG15" i="2"/>
  <c r="AE15" i="2"/>
  <c r="AC15" i="2"/>
  <c r="AA15" i="2"/>
  <c r="Y15" i="2"/>
  <c r="W15" i="2"/>
  <c r="U15" i="2"/>
  <c r="S15" i="2"/>
  <c r="Q15" i="2"/>
  <c r="O15" i="2"/>
  <c r="M15" i="2"/>
  <c r="K15" i="2"/>
  <c r="I15" i="2"/>
  <c r="G15" i="2"/>
  <c r="E15" i="2"/>
  <c r="C15" i="2"/>
  <c r="BI16" i="9"/>
  <c r="BG16" i="9"/>
  <c r="BE16" i="9"/>
  <c r="BC16" i="9"/>
  <c r="BA16" i="9"/>
  <c r="AY16" i="9"/>
  <c r="AW16" i="9"/>
  <c r="AU16" i="9"/>
  <c r="AS16" i="9"/>
  <c r="AQ16" i="9"/>
  <c r="AO16" i="9"/>
  <c r="AM16" i="9"/>
  <c r="AK16" i="9"/>
  <c r="AI16" i="9"/>
  <c r="AG16" i="9"/>
  <c r="AE16" i="9"/>
  <c r="W16" i="9"/>
  <c r="U16" i="9"/>
  <c r="S16" i="9"/>
  <c r="G16" i="9"/>
  <c r="E16" i="9"/>
  <c r="C16" i="9"/>
  <c r="BI15" i="9"/>
  <c r="BG15" i="9"/>
  <c r="BE15" i="9"/>
  <c r="BC15" i="9"/>
  <c r="BA15" i="9"/>
  <c r="AY15" i="9"/>
  <c r="AW15" i="9"/>
  <c r="AU15" i="9"/>
  <c r="AS15" i="9"/>
  <c r="AQ15" i="9"/>
  <c r="AO15" i="9"/>
  <c r="AM15" i="9"/>
  <c r="AK15" i="9"/>
  <c r="AI15" i="9"/>
  <c r="AG15" i="9"/>
  <c r="AE15" i="9"/>
  <c r="U15" i="9"/>
  <c r="S15" i="9"/>
  <c r="Q15" i="9"/>
  <c r="G15" i="9"/>
  <c r="E15" i="9"/>
  <c r="C15" i="9"/>
  <c r="BI14" i="9"/>
  <c r="BG14" i="9"/>
  <c r="BE14" i="9"/>
  <c r="BC14" i="9"/>
  <c r="BA14" i="9"/>
  <c r="AY14" i="9"/>
  <c r="AW14" i="9"/>
  <c r="AU14" i="9"/>
  <c r="AS14" i="9"/>
  <c r="AQ14" i="9"/>
  <c r="AO14" i="9"/>
  <c r="AM14" i="9"/>
  <c r="AK14" i="9"/>
  <c r="AI14" i="9"/>
  <c r="AG14" i="9"/>
  <c r="AE14" i="9"/>
  <c r="W14" i="9"/>
  <c r="U14" i="9"/>
  <c r="S14" i="9"/>
  <c r="M14" i="9"/>
  <c r="G14" i="9"/>
  <c r="E14" i="9"/>
  <c r="C14" i="9"/>
  <c r="BI13" i="9"/>
  <c r="BG13" i="9"/>
  <c r="BE13" i="9"/>
  <c r="BC13" i="9"/>
  <c r="BA13" i="9"/>
  <c r="AY13" i="9"/>
  <c r="AW13" i="9"/>
  <c r="AU13" i="9"/>
  <c r="AS13" i="9"/>
  <c r="AQ13" i="9"/>
  <c r="AO13" i="9"/>
  <c r="AM13" i="9"/>
  <c r="AK13" i="9"/>
  <c r="AI13" i="9"/>
  <c r="AG13" i="9"/>
  <c r="AE13" i="9"/>
  <c r="AA13" i="9"/>
  <c r="U13" i="9"/>
  <c r="S13" i="9"/>
  <c r="G13" i="9"/>
  <c r="E13" i="9"/>
  <c r="C13" i="9"/>
  <c r="BI12" i="9"/>
  <c r="BG12" i="9"/>
  <c r="BE12" i="9"/>
  <c r="BC12" i="9"/>
  <c r="BA12" i="9"/>
  <c r="AY12" i="9"/>
  <c r="AW12" i="9"/>
  <c r="AU12" i="9"/>
  <c r="AS12" i="9"/>
  <c r="AQ12" i="9"/>
  <c r="AO12" i="9"/>
  <c r="AM12" i="9"/>
  <c r="AK12" i="9"/>
  <c r="AI12" i="9"/>
  <c r="AG12" i="9"/>
  <c r="AE12" i="9"/>
  <c r="U12" i="9"/>
  <c r="S12" i="9"/>
  <c r="K12" i="9"/>
  <c r="I12" i="9"/>
  <c r="G12" i="9"/>
  <c r="E12" i="9"/>
  <c r="C12" i="9"/>
  <c r="BI11" i="9"/>
  <c r="BG11" i="9"/>
  <c r="BE11" i="9"/>
  <c r="BC11" i="9"/>
  <c r="BA11" i="9"/>
  <c r="AY11" i="9"/>
  <c r="AW11" i="9"/>
  <c r="AU11" i="9"/>
  <c r="AS11" i="9"/>
  <c r="AQ11" i="9"/>
  <c r="AO11" i="9"/>
  <c r="AM11" i="9"/>
  <c r="AK11" i="9"/>
  <c r="AI11" i="9"/>
  <c r="AG11" i="9"/>
  <c r="AE11" i="9"/>
  <c r="U11" i="9"/>
  <c r="S11" i="9"/>
  <c r="M11" i="9"/>
  <c r="G11" i="9"/>
  <c r="E11" i="9"/>
  <c r="C11" i="9"/>
  <c r="AC10" i="9"/>
  <c r="AK9" i="9"/>
  <c r="AI9" i="9"/>
  <c r="AG9" i="9"/>
  <c r="AE9" i="9"/>
  <c r="AC9" i="9"/>
  <c r="AA9" i="9"/>
  <c r="Y9" i="9"/>
  <c r="W9" i="9"/>
  <c r="U9" i="9"/>
  <c r="S9" i="9"/>
  <c r="Q9" i="9"/>
  <c r="O9" i="9"/>
  <c r="M9" i="9"/>
  <c r="K9" i="9"/>
  <c r="I9" i="9"/>
  <c r="G9" i="9"/>
  <c r="E9" i="9"/>
  <c r="C9" i="9"/>
  <c r="AK8" i="9"/>
  <c r="AI8" i="9"/>
  <c r="AG8" i="9"/>
  <c r="AE8" i="9"/>
  <c r="AC8" i="9"/>
  <c r="AA8" i="9"/>
  <c r="Y8" i="9"/>
  <c r="W8" i="9"/>
  <c r="U8" i="9"/>
  <c r="S8" i="9"/>
  <c r="Q8" i="9"/>
  <c r="O8" i="9"/>
  <c r="M8" i="9"/>
  <c r="K8" i="9"/>
  <c r="I8" i="9"/>
  <c r="G8" i="9"/>
  <c r="E8" i="9"/>
  <c r="C8" i="9"/>
  <c r="AK7" i="9"/>
  <c r="AI7" i="9"/>
  <c r="AG7" i="9"/>
  <c r="AE7" i="9"/>
  <c r="AC7" i="9"/>
  <c r="AA7" i="9"/>
  <c r="Y7" i="9"/>
  <c r="W7" i="9"/>
  <c r="U7" i="9"/>
  <c r="S7" i="9"/>
  <c r="Q7" i="9"/>
  <c r="O7" i="9"/>
  <c r="M7" i="9"/>
  <c r="K7" i="9"/>
  <c r="I7" i="9"/>
  <c r="G7" i="9"/>
  <c r="E7" i="9"/>
  <c r="C7" i="9"/>
  <c r="AK6" i="9"/>
  <c r="AC6" i="9"/>
  <c r="AS14" i="2"/>
  <c r="AQ14" i="2"/>
  <c r="AO14" i="2"/>
  <c r="AM14" i="2"/>
  <c r="AG14" i="2"/>
  <c r="AE14" i="2"/>
  <c r="AC14" i="2"/>
  <c r="AA14" i="2"/>
  <c r="Y14" i="2"/>
  <c r="W14" i="2"/>
  <c r="U14" i="2"/>
  <c r="S14" i="2"/>
  <c r="Q14" i="2"/>
  <c r="O14" i="2"/>
  <c r="M14" i="2"/>
  <c r="K14" i="2"/>
  <c r="I14" i="2"/>
  <c r="G14" i="2"/>
  <c r="E14" i="2"/>
  <c r="C14" i="2"/>
  <c r="AY11" i="8"/>
  <c r="AW11" i="8"/>
  <c r="AU11" i="8"/>
  <c r="AQ11" i="8"/>
  <c r="AO11" i="8"/>
  <c r="AM11" i="8"/>
  <c r="AK11" i="8"/>
  <c r="AI11" i="8"/>
  <c r="AG11" i="8"/>
  <c r="AE11" i="8"/>
  <c r="U11" i="8"/>
  <c r="S11" i="8"/>
  <c r="O11" i="8"/>
  <c r="M11" i="8"/>
  <c r="E11" i="8"/>
  <c r="C11" i="8"/>
  <c r="AC10" i="8"/>
  <c r="AK9" i="8"/>
  <c r="AI9" i="8"/>
  <c r="AG9" i="8"/>
  <c r="AE9" i="8"/>
  <c r="AC9" i="8"/>
  <c r="AA9" i="8"/>
  <c r="Y9" i="8"/>
  <c r="W9" i="8"/>
  <c r="U9" i="8"/>
  <c r="S9" i="8"/>
  <c r="Q9" i="8"/>
  <c r="O9" i="8"/>
  <c r="M9" i="8"/>
  <c r="K9" i="8"/>
  <c r="I9" i="8"/>
  <c r="G9" i="8"/>
  <c r="E9" i="8"/>
  <c r="C9" i="8"/>
  <c r="AK8" i="8"/>
  <c r="AI8" i="8"/>
  <c r="AG8" i="8"/>
  <c r="AE8" i="8"/>
  <c r="AC8" i="8"/>
  <c r="AA8" i="8"/>
  <c r="Y8" i="8"/>
  <c r="W8" i="8"/>
  <c r="U8" i="8"/>
  <c r="S8" i="8"/>
  <c r="Q8" i="8"/>
  <c r="O8" i="8"/>
  <c r="M8" i="8"/>
  <c r="K8" i="8"/>
  <c r="I8" i="8"/>
  <c r="G8" i="8"/>
  <c r="E8" i="8"/>
  <c r="C8" i="8"/>
  <c r="AK7" i="8"/>
  <c r="AI7" i="8"/>
  <c r="AG7" i="8"/>
  <c r="AE7" i="8"/>
  <c r="AC7" i="8"/>
  <c r="AA7" i="8"/>
  <c r="Y7" i="8"/>
  <c r="W7" i="8"/>
  <c r="U7" i="8"/>
  <c r="S7" i="8"/>
  <c r="Q7" i="8"/>
  <c r="O7" i="8"/>
  <c r="M7" i="8"/>
  <c r="K7" i="8"/>
  <c r="I7" i="8"/>
  <c r="G7" i="8"/>
  <c r="E7" i="8"/>
  <c r="C7" i="8"/>
  <c r="AK6" i="8"/>
  <c r="AC6" i="8"/>
  <c r="AQ13" i="2"/>
  <c r="AO13" i="2"/>
  <c r="AM13" i="2"/>
  <c r="AA11" i="6"/>
  <c r="W11" i="6"/>
  <c r="U11" i="6"/>
  <c r="S11" i="6"/>
  <c r="M11" i="6"/>
  <c r="K11" i="6"/>
  <c r="I11" i="6"/>
  <c r="G11" i="6"/>
  <c r="E11" i="6"/>
  <c r="C11" i="6"/>
  <c r="AG13" i="2"/>
  <c r="AE13" i="2"/>
  <c r="AC13" i="2"/>
  <c r="AA13" i="2"/>
  <c r="Y13" i="2"/>
  <c r="W13" i="2"/>
  <c r="U13" i="2"/>
  <c r="S13" i="2"/>
  <c r="Q13" i="2"/>
  <c r="O13" i="2"/>
  <c r="M13" i="2"/>
  <c r="K13" i="2"/>
  <c r="I13" i="2"/>
  <c r="G13" i="2"/>
  <c r="E13" i="2"/>
  <c r="C13" i="2"/>
  <c r="BK14" i="7"/>
  <c r="BI14" i="7"/>
  <c r="BG14" i="7"/>
  <c r="BE14" i="7"/>
  <c r="BC14" i="7"/>
  <c r="BA14" i="7"/>
  <c r="AY14" i="7"/>
  <c r="AW14" i="7"/>
  <c r="AU14" i="7"/>
  <c r="AS14" i="7"/>
  <c r="AQ14" i="7"/>
  <c r="AK14" i="7"/>
  <c r="AI14" i="7"/>
  <c r="AG14" i="7"/>
  <c r="AE14" i="7"/>
  <c r="AA14" i="7"/>
  <c r="U14" i="7"/>
  <c r="S14" i="7"/>
  <c r="M14" i="7"/>
  <c r="K14" i="7"/>
  <c r="G14" i="7"/>
  <c r="E14" i="7"/>
  <c r="C14" i="7"/>
  <c r="BK13" i="7"/>
  <c r="BG13" i="7"/>
  <c r="BE13" i="7"/>
  <c r="BC13" i="7"/>
  <c r="BA13" i="7"/>
  <c r="AY13" i="7"/>
  <c r="AW13" i="7"/>
  <c r="AU13" i="7"/>
  <c r="AS13" i="7"/>
  <c r="AQ13" i="7"/>
  <c r="AK13" i="7"/>
  <c r="AI13" i="7"/>
  <c r="AG13" i="7"/>
  <c r="AE13" i="7"/>
  <c r="AC13" i="7"/>
  <c r="Y13" i="7"/>
  <c r="U13" i="7"/>
  <c r="S13" i="7"/>
  <c r="Q13" i="7"/>
  <c r="O13" i="7"/>
  <c r="M13" i="7"/>
  <c r="K13" i="7"/>
  <c r="G13" i="7"/>
  <c r="E13" i="7"/>
  <c r="C13" i="7"/>
  <c r="BK12" i="7"/>
  <c r="BI12" i="7"/>
  <c r="BG12" i="7"/>
  <c r="BE12" i="7"/>
  <c r="BC12" i="7"/>
  <c r="BA12" i="7"/>
  <c r="AY12" i="7"/>
  <c r="AW12" i="7"/>
  <c r="AU12" i="7"/>
  <c r="AS12" i="7"/>
  <c r="AQ12" i="7"/>
  <c r="AK12" i="7"/>
  <c r="AI12" i="7"/>
  <c r="AG12" i="7"/>
  <c r="AE12" i="7"/>
  <c r="AA12" i="7"/>
  <c r="W12" i="7"/>
  <c r="U12" i="7"/>
  <c r="S12" i="7"/>
  <c r="M12" i="7"/>
  <c r="K12" i="7"/>
  <c r="I12" i="7"/>
  <c r="G12" i="7"/>
  <c r="E12" i="7"/>
  <c r="C12" i="7"/>
  <c r="BK11" i="7"/>
  <c r="BI11" i="7"/>
  <c r="BG11" i="7"/>
  <c r="BE11" i="7"/>
  <c r="BC11" i="7"/>
  <c r="BA11" i="7"/>
  <c r="AY11" i="7"/>
  <c r="AW11" i="7"/>
  <c r="AU11" i="7"/>
  <c r="AS11" i="7"/>
  <c r="AQ11" i="7"/>
  <c r="AK11" i="7"/>
  <c r="AI11" i="7"/>
  <c r="AG11" i="7"/>
  <c r="AE11" i="7"/>
  <c r="AC11" i="7"/>
  <c r="AA11" i="7"/>
  <c r="Y11" i="7"/>
  <c r="U11" i="7"/>
  <c r="S11" i="7"/>
  <c r="I11" i="7"/>
  <c r="G11" i="7"/>
  <c r="E11" i="7"/>
  <c r="C11" i="7"/>
  <c r="AR9" i="7"/>
  <c r="AC10" i="7"/>
  <c r="AK9" i="7"/>
  <c r="AI9" i="7"/>
  <c r="AG9" i="7"/>
  <c r="AE9" i="7"/>
  <c r="AC9" i="7"/>
  <c r="AA9" i="7"/>
  <c r="Y9" i="7"/>
  <c r="W9" i="7"/>
  <c r="U9" i="7"/>
  <c r="S9" i="7"/>
  <c r="Q9" i="7"/>
  <c r="O9" i="7"/>
  <c r="M9" i="7"/>
  <c r="K9" i="7"/>
  <c r="I9" i="7"/>
  <c r="G9" i="7"/>
  <c r="E9" i="7"/>
  <c r="C9" i="7"/>
  <c r="AK8" i="7"/>
  <c r="AI8" i="7"/>
  <c r="AG8" i="7"/>
  <c r="AE8" i="7"/>
  <c r="AC8" i="7"/>
  <c r="AA8" i="7"/>
  <c r="Y8" i="7"/>
  <c r="W8" i="7"/>
  <c r="U8" i="7"/>
  <c r="S8" i="7"/>
  <c r="Q8" i="7"/>
  <c r="O8" i="7"/>
  <c r="M8" i="7"/>
  <c r="K8" i="7"/>
  <c r="I8" i="7"/>
  <c r="G8" i="7"/>
  <c r="E8" i="7"/>
  <c r="C8" i="7"/>
  <c r="AK7" i="7"/>
  <c r="AI7" i="7"/>
  <c r="AG7" i="7"/>
  <c r="AE7" i="7"/>
  <c r="AC7" i="7"/>
  <c r="AA7" i="7"/>
  <c r="Y7" i="7"/>
  <c r="W7" i="7"/>
  <c r="U7" i="7"/>
  <c r="S7" i="7"/>
  <c r="Q7" i="7"/>
  <c r="O7" i="7"/>
  <c r="M7" i="7"/>
  <c r="K7" i="7"/>
  <c r="I7" i="7"/>
  <c r="G7" i="7"/>
  <c r="E7" i="7"/>
  <c r="C7" i="7"/>
  <c r="AK6" i="7"/>
  <c r="AC6" i="7"/>
  <c r="AS12" i="2"/>
  <c r="AQ12" i="2"/>
  <c r="AO12" i="2"/>
  <c r="AM12" i="2"/>
  <c r="AG12" i="2"/>
  <c r="AE12" i="2"/>
  <c r="AC12" i="2"/>
  <c r="O12" i="2"/>
  <c r="M12" i="2"/>
  <c r="K12" i="2"/>
  <c r="I12" i="2"/>
  <c r="G12" i="2"/>
  <c r="E12" i="2"/>
  <c r="C12" i="2"/>
  <c r="AY12" i="6"/>
  <c r="AW12" i="6"/>
  <c r="AU12" i="6"/>
  <c r="AO12" i="6"/>
  <c r="AM12" i="6"/>
  <c r="AK12" i="6"/>
  <c r="AI12" i="6"/>
  <c r="AG12" i="6"/>
  <c r="AE12" i="6"/>
  <c r="Y12" i="6"/>
  <c r="W12" i="6"/>
  <c r="U12" i="6"/>
  <c r="S12" i="6"/>
  <c r="O12" i="6"/>
  <c r="M12" i="6"/>
  <c r="K12" i="6"/>
  <c r="G12" i="6"/>
  <c r="E12" i="6"/>
  <c r="C12" i="6"/>
  <c r="AY11" i="6"/>
  <c r="AW11" i="6"/>
  <c r="AU11" i="6"/>
  <c r="AO11" i="6"/>
  <c r="AM11" i="6"/>
  <c r="AK11" i="6"/>
  <c r="AI11" i="6"/>
  <c r="AG11" i="6"/>
  <c r="AE11" i="6"/>
  <c r="AK9" i="6"/>
  <c r="AK8" i="6"/>
  <c r="AK6" i="6"/>
  <c r="AK7" i="6"/>
  <c r="AI9" i="6"/>
  <c r="AI8" i="6"/>
  <c r="AI7" i="6"/>
  <c r="AC10" i="6"/>
  <c r="AG9" i="6"/>
  <c r="AE9" i="6"/>
  <c r="AC9" i="6"/>
  <c r="AA9" i="6"/>
  <c r="Y9" i="6"/>
  <c r="W9" i="6"/>
  <c r="U9" i="6"/>
  <c r="S9" i="6"/>
  <c r="Q9" i="6"/>
  <c r="O9" i="6"/>
  <c r="M9" i="6"/>
  <c r="K9" i="6"/>
  <c r="I9" i="6"/>
  <c r="G9" i="6"/>
  <c r="E9" i="6"/>
  <c r="C9" i="6"/>
  <c r="AG8" i="6"/>
  <c r="AE8" i="6"/>
  <c r="AC8" i="6"/>
  <c r="AA8" i="6"/>
  <c r="Y8" i="6"/>
  <c r="W8" i="6"/>
  <c r="U8" i="6"/>
  <c r="S8" i="6"/>
  <c r="Q8" i="6"/>
  <c r="O8" i="6"/>
  <c r="M8" i="6"/>
  <c r="K8" i="6"/>
  <c r="I8" i="6"/>
  <c r="G8" i="6"/>
  <c r="E8" i="6"/>
  <c r="C8" i="6"/>
  <c r="AG7" i="6"/>
  <c r="AE7" i="6"/>
  <c r="AC7" i="6"/>
  <c r="AA7" i="6"/>
  <c r="Y7" i="6"/>
  <c r="W7" i="6"/>
  <c r="U7" i="6"/>
  <c r="S7" i="6"/>
  <c r="Q7" i="6"/>
  <c r="O7" i="6"/>
  <c r="M7" i="6"/>
  <c r="K7" i="6"/>
  <c r="I7" i="6"/>
  <c r="G7" i="6"/>
  <c r="E7" i="6"/>
  <c r="C7" i="6"/>
  <c r="AC6" i="6"/>
  <c r="AS11" i="2"/>
  <c r="AQ11" i="2"/>
  <c r="AG11" i="2"/>
  <c r="AE11" i="2"/>
  <c r="AA11" i="2"/>
  <c r="Y11" i="2"/>
  <c r="W11" i="2"/>
  <c r="U11" i="2"/>
  <c r="S11" i="2"/>
  <c r="Q11" i="2"/>
  <c r="O11" i="2"/>
  <c r="M11" i="2"/>
  <c r="K11" i="2"/>
  <c r="I11" i="2"/>
  <c r="G11" i="2"/>
  <c r="E11" i="2"/>
  <c r="C11" i="2"/>
  <c r="AY14" i="5"/>
  <c r="AW14" i="5"/>
  <c r="AU14" i="5"/>
  <c r="AS14" i="5"/>
  <c r="AQ14" i="5"/>
  <c r="AO14" i="5"/>
  <c r="AM14" i="5"/>
  <c r="AK14" i="5"/>
  <c r="AI14" i="5"/>
  <c r="AG14" i="5"/>
  <c r="AE14" i="5"/>
  <c r="AC14" i="5"/>
  <c r="AA14" i="5"/>
  <c r="W14" i="5"/>
  <c r="U14" i="5"/>
  <c r="S14" i="5"/>
  <c r="M14" i="5"/>
  <c r="K14" i="5"/>
  <c r="G14" i="5"/>
  <c r="E14" i="5"/>
  <c r="C14" i="5"/>
  <c r="AY13" i="5"/>
  <c r="AW13" i="5"/>
  <c r="AU13" i="5"/>
  <c r="AS13" i="5"/>
  <c r="AQ13" i="5"/>
  <c r="AO13" i="5"/>
  <c r="AM13" i="5"/>
  <c r="AK13" i="5"/>
  <c r="AI13" i="5"/>
  <c r="AG13" i="5"/>
  <c r="AE13" i="5"/>
  <c r="AC13" i="5"/>
  <c r="U13" i="5"/>
  <c r="S13" i="5"/>
  <c r="O13" i="5"/>
  <c r="M13" i="5"/>
  <c r="K13" i="5"/>
  <c r="G13" i="5"/>
  <c r="E13" i="5"/>
  <c r="C13" i="5"/>
  <c r="AY12" i="5"/>
  <c r="AW12" i="5"/>
  <c r="AU12" i="5"/>
  <c r="AS12" i="5"/>
  <c r="AQ12" i="5"/>
  <c r="AO12" i="5"/>
  <c r="AM12" i="5"/>
  <c r="AK12" i="5"/>
  <c r="AI12" i="5"/>
  <c r="AG12" i="5"/>
  <c r="AE12" i="5"/>
  <c r="U12" i="5"/>
  <c r="S12" i="5"/>
  <c r="M12" i="5"/>
  <c r="K12" i="5"/>
  <c r="G12" i="5"/>
  <c r="E12" i="5"/>
  <c r="C12" i="5"/>
  <c r="AY11" i="5"/>
  <c r="BG11" i="5" s="1"/>
  <c r="AW11" i="5"/>
  <c r="AU11" i="5"/>
  <c r="AS11" i="5"/>
  <c r="AQ11" i="5"/>
  <c r="AO11" i="5"/>
  <c r="AM11" i="5"/>
  <c r="AK11" i="5"/>
  <c r="AI11" i="5"/>
  <c r="AG11" i="5"/>
  <c r="AE11" i="5"/>
  <c r="AA11" i="5"/>
  <c r="W11" i="5"/>
  <c r="U11" i="5"/>
  <c r="S11" i="5"/>
  <c r="O11" i="5"/>
  <c r="M11" i="5"/>
  <c r="K11" i="5"/>
  <c r="G11" i="5"/>
  <c r="E11" i="5"/>
  <c r="C11" i="5"/>
  <c r="AK9" i="5"/>
  <c r="AI9" i="5"/>
  <c r="AC10" i="5"/>
  <c r="AG9" i="5"/>
  <c r="AE9" i="5"/>
  <c r="AC9" i="5"/>
  <c r="AA9" i="5"/>
  <c r="Y9" i="5"/>
  <c r="W9" i="5"/>
  <c r="U9" i="5"/>
  <c r="S9" i="5"/>
  <c r="Q9" i="5"/>
  <c r="O9" i="5"/>
  <c r="M9" i="5"/>
  <c r="K9" i="5"/>
  <c r="I9" i="5"/>
  <c r="G9" i="5"/>
  <c r="E9" i="5"/>
  <c r="C9" i="5"/>
  <c r="AG8" i="5"/>
  <c r="AE8" i="5"/>
  <c r="AC8" i="5"/>
  <c r="AA8" i="5"/>
  <c r="Y8" i="5"/>
  <c r="W8" i="5"/>
  <c r="U8" i="5"/>
  <c r="S8" i="5"/>
  <c r="Q8" i="5"/>
  <c r="O8" i="5"/>
  <c r="M8" i="5"/>
  <c r="K8" i="5"/>
  <c r="I8" i="5"/>
  <c r="G8" i="5"/>
  <c r="E8" i="5"/>
  <c r="C8" i="5"/>
  <c r="AG7" i="5"/>
  <c r="AE7" i="5"/>
  <c r="AC7" i="5"/>
  <c r="AA7" i="5"/>
  <c r="Y7" i="5"/>
  <c r="W7" i="5"/>
  <c r="U7" i="5"/>
  <c r="S7" i="5"/>
  <c r="Q7" i="5"/>
  <c r="O7" i="5"/>
  <c r="M7" i="5"/>
  <c r="K7" i="5"/>
  <c r="I7" i="5"/>
  <c r="G7" i="5"/>
  <c r="E7" i="5"/>
  <c r="C7" i="5"/>
  <c r="AC6" i="5"/>
  <c r="BC30" i="4"/>
  <c r="BA30" i="4"/>
  <c r="AY30" i="4"/>
  <c r="AW30" i="4"/>
  <c r="AU30" i="4"/>
  <c r="AS30" i="4"/>
  <c r="AQ30" i="4"/>
  <c r="AO30" i="4"/>
  <c r="AM30" i="4"/>
  <c r="AK30" i="4"/>
  <c r="AI30" i="4"/>
  <c r="AG30" i="4"/>
  <c r="AE30" i="4"/>
  <c r="Y30" i="4"/>
  <c r="U30" i="4"/>
  <c r="S30" i="4"/>
  <c r="M30" i="4"/>
  <c r="I30" i="4"/>
  <c r="G30" i="4"/>
  <c r="E30" i="4"/>
  <c r="C30" i="4"/>
  <c r="BC29" i="4"/>
  <c r="BA29" i="4"/>
  <c r="AY29" i="4"/>
  <c r="AW29" i="4"/>
  <c r="AU29" i="4"/>
  <c r="AS29" i="4"/>
  <c r="AQ29" i="4"/>
  <c r="AO29" i="4"/>
  <c r="AM29" i="4"/>
  <c r="AK29" i="4"/>
  <c r="AI29" i="4"/>
  <c r="AG29" i="4"/>
  <c r="AE29" i="4"/>
  <c r="AC29" i="4"/>
  <c r="W29" i="4"/>
  <c r="U29" i="4"/>
  <c r="S29" i="4"/>
  <c r="G29" i="4"/>
  <c r="E29" i="4"/>
  <c r="C29" i="4"/>
  <c r="BC28" i="4"/>
  <c r="BA28" i="4"/>
  <c r="AY28" i="4"/>
  <c r="AW28" i="4"/>
  <c r="AU28" i="4"/>
  <c r="AS28" i="4"/>
  <c r="AQ28" i="4"/>
  <c r="AO28" i="4"/>
  <c r="AM28" i="4"/>
  <c r="AK28" i="4"/>
  <c r="AI28" i="4"/>
  <c r="AG28" i="4"/>
  <c r="AE28" i="4"/>
  <c r="AA28" i="4"/>
  <c r="U28" i="4"/>
  <c r="S28" i="4"/>
  <c r="K28" i="4"/>
  <c r="I28" i="4"/>
  <c r="G28" i="4"/>
  <c r="E28" i="4"/>
  <c r="C28" i="4"/>
  <c r="BC27" i="4"/>
  <c r="BA27" i="4"/>
  <c r="AY27" i="4"/>
  <c r="BC26" i="4"/>
  <c r="BA26" i="4"/>
  <c r="AY26" i="4"/>
  <c r="AW27" i="4"/>
  <c r="AU27" i="4"/>
  <c r="AS27" i="4"/>
  <c r="AQ27" i="4"/>
  <c r="AO27" i="4"/>
  <c r="AM27" i="4"/>
  <c r="AG27" i="4"/>
  <c r="AE27" i="4"/>
  <c r="Y27" i="4"/>
  <c r="U27" i="4"/>
  <c r="S27" i="4"/>
  <c r="O27" i="4"/>
  <c r="M27" i="4"/>
  <c r="K27" i="4"/>
  <c r="I27" i="4"/>
  <c r="G27" i="4"/>
  <c r="E27" i="4"/>
  <c r="C27" i="4"/>
  <c r="AW26" i="4"/>
  <c r="AU26" i="4"/>
  <c r="AS26" i="4"/>
  <c r="AQ26" i="4"/>
  <c r="AO26" i="4"/>
  <c r="AM26" i="4"/>
  <c r="AG26" i="4"/>
  <c r="AE26" i="4"/>
  <c r="AC26" i="4"/>
  <c r="Y26" i="4"/>
  <c r="U26" i="4"/>
  <c r="S26" i="4"/>
  <c r="I26" i="4"/>
  <c r="G26" i="4"/>
  <c r="E26" i="4"/>
  <c r="C26" i="4"/>
  <c r="BC25" i="4"/>
  <c r="BA25" i="4"/>
  <c r="AY25" i="4"/>
  <c r="AW25" i="4"/>
  <c r="AU25" i="4"/>
  <c r="AS25" i="4"/>
  <c r="AQ25" i="4"/>
  <c r="AO25" i="4"/>
  <c r="AM25" i="4"/>
  <c r="AG25" i="4"/>
  <c r="AE25" i="4"/>
  <c r="Y25" i="4"/>
  <c r="W25" i="4"/>
  <c r="U25" i="4"/>
  <c r="S25" i="4"/>
  <c r="I25" i="4"/>
  <c r="G25" i="4"/>
  <c r="E25" i="4"/>
  <c r="C25" i="4"/>
  <c r="BC24" i="4"/>
  <c r="BA24" i="4"/>
  <c r="AY24" i="4"/>
  <c r="AW24" i="4"/>
  <c r="AU24" i="4"/>
  <c r="AS24" i="4"/>
  <c r="AQ24" i="4"/>
  <c r="AO24" i="4"/>
  <c r="AM24" i="4"/>
  <c r="AG24" i="4"/>
  <c r="AE24" i="4"/>
  <c r="Y24" i="4"/>
  <c r="W24" i="4"/>
  <c r="U24" i="4"/>
  <c r="S24" i="4"/>
  <c r="K24" i="4"/>
  <c r="G24" i="4"/>
  <c r="E24" i="4"/>
  <c r="C24" i="4"/>
  <c r="BC23" i="4"/>
  <c r="BA23" i="4"/>
  <c r="AY23" i="4"/>
  <c r="AW23" i="4"/>
  <c r="AU23" i="4"/>
  <c r="AS23" i="4"/>
  <c r="AQ23" i="4"/>
  <c r="AO23" i="4"/>
  <c r="AM23" i="4"/>
  <c r="AG23" i="4"/>
  <c r="AE23" i="4"/>
  <c r="Y23" i="4"/>
  <c r="U23" i="4"/>
  <c r="S23" i="4"/>
  <c r="E23" i="4"/>
  <c r="C23" i="4"/>
  <c r="BC22" i="4"/>
  <c r="BA22" i="4"/>
  <c r="AY22" i="4"/>
  <c r="AW22" i="4"/>
  <c r="AU22" i="4"/>
  <c r="AS22" i="4"/>
  <c r="AQ22" i="4"/>
  <c r="AO22" i="4"/>
  <c r="AM22" i="4"/>
  <c r="AG22" i="4"/>
  <c r="AE22" i="4"/>
  <c r="Y22" i="4"/>
  <c r="W22" i="4"/>
  <c r="U22" i="4"/>
  <c r="S22" i="4"/>
  <c r="K22" i="4"/>
  <c r="G22" i="4"/>
  <c r="E22" i="4"/>
  <c r="C22" i="4"/>
  <c r="BC21" i="4"/>
  <c r="BA21" i="4"/>
  <c r="AY21" i="4"/>
  <c r="AW21" i="4"/>
  <c r="AU21" i="4"/>
  <c r="AS21" i="4"/>
  <c r="AQ21" i="4"/>
  <c r="AO21" i="4"/>
  <c r="AM21" i="4"/>
  <c r="AG21" i="4"/>
  <c r="AE21" i="4"/>
  <c r="AC21" i="4"/>
  <c r="Y21" i="4"/>
  <c r="W21" i="4"/>
  <c r="U21" i="4"/>
  <c r="S21" i="4"/>
  <c r="K21" i="4"/>
  <c r="I21" i="4"/>
  <c r="G21" i="4"/>
  <c r="E21" i="4"/>
  <c r="C21" i="4"/>
  <c r="BC20" i="4"/>
  <c r="BA20" i="4"/>
  <c r="AY20" i="4"/>
  <c r="AW20" i="4"/>
  <c r="AU20" i="4"/>
  <c r="AS20" i="4"/>
  <c r="AQ20" i="4"/>
  <c r="AO20" i="4"/>
  <c r="AM20" i="4"/>
  <c r="AG20" i="4"/>
  <c r="AE20" i="4"/>
  <c r="AC20" i="4"/>
  <c r="Y20" i="4"/>
  <c r="W20" i="4"/>
  <c r="U20" i="4"/>
  <c r="S20" i="4"/>
  <c r="I20" i="4"/>
  <c r="G20" i="4"/>
  <c r="E20" i="4"/>
  <c r="C20" i="4"/>
  <c r="BC19" i="4"/>
  <c r="BA19" i="4"/>
  <c r="AY19" i="4"/>
  <c r="AW19" i="4"/>
  <c r="AU19" i="4"/>
  <c r="AS19" i="4"/>
  <c r="AQ19" i="4"/>
  <c r="AO19" i="4"/>
  <c r="AM19" i="4"/>
  <c r="AG19" i="4"/>
  <c r="AE19" i="4"/>
  <c r="W19" i="4"/>
  <c r="U19" i="4"/>
  <c r="S19" i="4"/>
  <c r="G19" i="4"/>
  <c r="E19" i="4"/>
  <c r="C19" i="4"/>
  <c r="BC18" i="4"/>
  <c r="BA18" i="4"/>
  <c r="AY18" i="4"/>
  <c r="AW18" i="4"/>
  <c r="AU18" i="4"/>
  <c r="AS18" i="4"/>
  <c r="AQ18" i="4"/>
  <c r="AO18" i="4"/>
  <c r="AM18" i="4"/>
  <c r="AG18" i="4"/>
  <c r="AE18" i="4"/>
  <c r="AC18" i="4"/>
  <c r="Y18" i="4"/>
  <c r="U18" i="4"/>
  <c r="S18" i="4"/>
  <c r="K18" i="4"/>
  <c r="I18" i="4"/>
  <c r="G18" i="4"/>
  <c r="E18" i="4"/>
  <c r="C18" i="4"/>
  <c r="BC17" i="4"/>
  <c r="BA17" i="4"/>
  <c r="AY17" i="4"/>
  <c r="AW17" i="4"/>
  <c r="AU17" i="4"/>
  <c r="AS17" i="4"/>
  <c r="AQ17" i="4"/>
  <c r="AO17" i="4"/>
  <c r="AM17" i="4"/>
  <c r="AG17" i="4"/>
  <c r="AE17" i="4"/>
  <c r="Y17" i="4"/>
  <c r="U17" i="4"/>
  <c r="S17" i="4"/>
  <c r="I17" i="4"/>
  <c r="G17" i="4"/>
  <c r="E17" i="4"/>
  <c r="C17" i="4"/>
  <c r="BC16" i="4"/>
  <c r="BA16" i="4"/>
  <c r="AY16" i="4"/>
  <c r="AW16" i="4"/>
  <c r="AU16" i="4"/>
  <c r="AS16" i="4"/>
  <c r="AQ16" i="4"/>
  <c r="AO16" i="4"/>
  <c r="AM16" i="4"/>
  <c r="AG16" i="4"/>
  <c r="AE16" i="4"/>
  <c r="AC16" i="4"/>
  <c r="Y16" i="4"/>
  <c r="W16" i="4"/>
  <c r="U16" i="4"/>
  <c r="S16" i="4"/>
  <c r="M16" i="4"/>
  <c r="I16" i="4"/>
  <c r="G16" i="4"/>
  <c r="E16" i="4"/>
  <c r="C16" i="4"/>
  <c r="BA15" i="4"/>
  <c r="AY15" i="4"/>
  <c r="AW15" i="4"/>
  <c r="AU15" i="4"/>
  <c r="AS15" i="4"/>
  <c r="AQ15" i="4"/>
  <c r="AO15" i="4"/>
  <c r="AM15" i="4"/>
  <c r="AG15" i="4"/>
  <c r="AE15" i="4"/>
  <c r="AC15" i="4"/>
  <c r="Y15" i="4"/>
  <c r="U15" i="4"/>
  <c r="S15" i="4"/>
  <c r="I15" i="4"/>
  <c r="G15" i="4"/>
  <c r="E15" i="4"/>
  <c r="C15" i="4"/>
  <c r="BC14" i="4"/>
  <c r="BA14" i="4"/>
  <c r="AY14" i="4"/>
  <c r="AW14" i="4"/>
  <c r="AU14" i="4"/>
  <c r="AS14" i="4"/>
  <c r="AQ14" i="4"/>
  <c r="AO14" i="4"/>
  <c r="AM14" i="4"/>
  <c r="AG14" i="4"/>
  <c r="AE14" i="4"/>
  <c r="U14" i="4"/>
  <c r="S14" i="4"/>
  <c r="G14" i="4"/>
  <c r="E14" i="4"/>
  <c r="C14" i="4"/>
  <c r="BC13" i="4"/>
  <c r="BA13" i="4"/>
  <c r="AW13" i="4"/>
  <c r="AU13" i="4"/>
  <c r="AS13" i="4"/>
  <c r="AQ13" i="4"/>
  <c r="AO13" i="4"/>
  <c r="AM13" i="4"/>
  <c r="AG13" i="4"/>
  <c r="AE13" i="4"/>
  <c r="Y13" i="4"/>
  <c r="U13" i="4"/>
  <c r="S13" i="4"/>
  <c r="I13" i="4"/>
  <c r="G13" i="4"/>
  <c r="E13" i="4"/>
  <c r="C13" i="4"/>
  <c r="BC12" i="4"/>
  <c r="BA12" i="4"/>
  <c r="AY12" i="4"/>
  <c r="AW12" i="4"/>
  <c r="AU12" i="4"/>
  <c r="AS12" i="4"/>
  <c r="AQ12" i="4"/>
  <c r="AO12" i="4"/>
  <c r="AM12" i="4"/>
  <c r="AG12" i="4"/>
  <c r="AE12" i="4"/>
  <c r="AA12" i="4"/>
  <c r="W12" i="4"/>
  <c r="U12" i="4"/>
  <c r="S12" i="4"/>
  <c r="I12" i="4"/>
  <c r="G12" i="4"/>
  <c r="E12" i="4"/>
  <c r="C12" i="4"/>
  <c r="BC11" i="4"/>
  <c r="BA11" i="4"/>
  <c r="AY11" i="4"/>
  <c r="AW11" i="4"/>
  <c r="AU11" i="4"/>
  <c r="AS11" i="4"/>
  <c r="AQ11" i="4"/>
  <c r="AO11" i="4"/>
  <c r="AM11" i="4"/>
  <c r="AG11" i="4"/>
  <c r="AE11" i="4"/>
  <c r="Y11" i="4"/>
  <c r="W11" i="4"/>
  <c r="U11" i="4"/>
  <c r="S11" i="4"/>
  <c r="M11" i="4"/>
  <c r="G11" i="4"/>
  <c r="E11" i="4"/>
  <c r="C11" i="4"/>
  <c r="AI7" i="4"/>
  <c r="AK7" i="4"/>
  <c r="AK9" i="4"/>
  <c r="AK8" i="4"/>
  <c r="AI9" i="4"/>
  <c r="AI8" i="4"/>
  <c r="AC10" i="4"/>
  <c r="AG9" i="4"/>
  <c r="AE9" i="4"/>
  <c r="AC9" i="4"/>
  <c r="AA9" i="4"/>
  <c r="Y9" i="4"/>
  <c r="W9" i="4"/>
  <c r="U9" i="4"/>
  <c r="S9" i="4"/>
  <c r="Q9" i="4"/>
  <c r="O9" i="4"/>
  <c r="M9" i="4"/>
  <c r="K9" i="4"/>
  <c r="I9" i="4"/>
  <c r="G9" i="4"/>
  <c r="E9" i="4"/>
  <c r="C9" i="4"/>
  <c r="AG8" i="4"/>
  <c r="AE8" i="4"/>
  <c r="AC8" i="4"/>
  <c r="AA8" i="4"/>
  <c r="Y8" i="4"/>
  <c r="W8" i="4"/>
  <c r="U8" i="4"/>
  <c r="S8" i="4"/>
  <c r="Q8" i="4"/>
  <c r="O8" i="4"/>
  <c r="M8" i="4"/>
  <c r="K8" i="4"/>
  <c r="I8" i="4"/>
  <c r="G8" i="4"/>
  <c r="E8" i="4"/>
  <c r="C8" i="4"/>
  <c r="AG7" i="4"/>
  <c r="AE7" i="4"/>
  <c r="AC7" i="4"/>
  <c r="AA7" i="4"/>
  <c r="Y7" i="4"/>
  <c r="W7" i="4"/>
  <c r="U7" i="4"/>
  <c r="S7" i="4"/>
  <c r="Q7" i="4"/>
  <c r="O7" i="4"/>
  <c r="M7" i="4"/>
  <c r="K7" i="4"/>
  <c r="I7" i="4"/>
  <c r="G7" i="4"/>
  <c r="E7" i="4"/>
  <c r="C7" i="4"/>
  <c r="AC6" i="4"/>
  <c r="AS9" i="2"/>
  <c r="AQ9" i="2"/>
  <c r="AG9" i="2"/>
  <c r="AE9" i="2"/>
  <c r="AA9" i="2"/>
  <c r="Y9" i="2"/>
  <c r="W9" i="2"/>
  <c r="U9" i="2"/>
  <c r="S9" i="2"/>
  <c r="Q9" i="2"/>
  <c r="O9" i="2"/>
  <c r="M9" i="2"/>
  <c r="K9" i="2"/>
  <c r="I9" i="2"/>
  <c r="G9" i="2"/>
  <c r="E9" i="2"/>
  <c r="C9" i="2"/>
  <c r="AC10" i="3"/>
  <c r="BA16" i="3"/>
  <c r="AY16" i="3"/>
  <c r="AW16" i="3"/>
  <c r="AQ16" i="3"/>
  <c r="AO16" i="3"/>
  <c r="AM16" i="3"/>
  <c r="AG16" i="3"/>
  <c r="AE16" i="3"/>
  <c r="AA16" i="3"/>
  <c r="W16" i="3"/>
  <c r="U16" i="3"/>
  <c r="S16" i="3"/>
  <c r="M16" i="3"/>
  <c r="K16" i="3"/>
  <c r="I16" i="3"/>
  <c r="G16" i="3"/>
  <c r="E16" i="3"/>
  <c r="C16" i="3"/>
  <c r="BA15" i="3"/>
  <c r="AY15" i="3"/>
  <c r="AW15" i="3"/>
  <c r="AQ15" i="3"/>
  <c r="AO15" i="3"/>
  <c r="AM15" i="3"/>
  <c r="AG15" i="3"/>
  <c r="AE15" i="3"/>
  <c r="W15" i="3"/>
  <c r="U15" i="3"/>
  <c r="S15" i="3"/>
  <c r="I15" i="3"/>
  <c r="G15" i="3"/>
  <c r="E15" i="3"/>
  <c r="C15" i="3"/>
  <c r="BA14" i="3"/>
  <c r="AY14" i="3"/>
  <c r="AW14" i="3"/>
  <c r="AQ14" i="3"/>
  <c r="AO14" i="3"/>
  <c r="AM14" i="3"/>
  <c r="AG14" i="3"/>
  <c r="AE14" i="3"/>
  <c r="AC14" i="3"/>
  <c r="AA14" i="3"/>
  <c r="Y14" i="3"/>
  <c r="W14" i="3"/>
  <c r="U14" i="3"/>
  <c r="S14" i="3"/>
  <c r="M14" i="3"/>
  <c r="K14" i="3"/>
  <c r="I14" i="3"/>
  <c r="G14" i="3"/>
  <c r="E14" i="3"/>
  <c r="C14" i="3"/>
  <c r="BA13" i="3"/>
  <c r="AY13" i="3"/>
  <c r="AW13" i="3"/>
  <c r="AQ13" i="3"/>
  <c r="AK13" i="3"/>
  <c r="AI13" i="3"/>
  <c r="AG13" i="3"/>
  <c r="AE13" i="3"/>
  <c r="AA13" i="3"/>
  <c r="Y13" i="3"/>
  <c r="W13" i="3"/>
  <c r="U13" i="3"/>
  <c r="S13" i="3"/>
  <c r="O13" i="3"/>
  <c r="M13" i="3"/>
  <c r="K13" i="3"/>
  <c r="G13" i="3"/>
  <c r="E13" i="3"/>
  <c r="C13" i="3"/>
  <c r="E12" i="3"/>
  <c r="BA12" i="3"/>
  <c r="AY12" i="3"/>
  <c r="AW12" i="3"/>
  <c r="AQ12" i="3"/>
  <c r="AK12" i="3"/>
  <c r="AI12" i="3"/>
  <c r="AG12" i="3"/>
  <c r="AE12" i="3"/>
  <c r="AC12" i="3"/>
  <c r="W12" i="3"/>
  <c r="U12" i="3"/>
  <c r="S12" i="3"/>
  <c r="M12" i="3"/>
  <c r="K12" i="3"/>
  <c r="G12" i="3"/>
  <c r="C12" i="3"/>
  <c r="BA11" i="3"/>
  <c r="AY11" i="3"/>
  <c r="AW11" i="3"/>
  <c r="AQ11" i="3"/>
  <c r="AK11" i="3"/>
  <c r="AI11" i="3"/>
  <c r="AG11" i="3"/>
  <c r="AE11" i="3"/>
  <c r="AA11" i="3"/>
  <c r="W11" i="3"/>
  <c r="U11" i="3"/>
  <c r="S11" i="3"/>
  <c r="Q11" i="3"/>
  <c r="M11" i="3"/>
  <c r="K11" i="3"/>
  <c r="G11" i="3"/>
  <c r="E11" i="3"/>
  <c r="C11" i="3"/>
  <c r="AO9" i="3"/>
  <c r="AM9" i="3"/>
  <c r="AK9" i="3"/>
  <c r="AI9" i="3"/>
  <c r="AC8" i="3"/>
  <c r="AC7" i="3"/>
  <c r="AC6" i="3"/>
  <c r="AG9" i="3"/>
  <c r="AG8" i="3"/>
  <c r="AG7" i="3"/>
  <c r="AE9" i="3"/>
  <c r="AE8" i="3"/>
  <c r="AE7" i="3"/>
  <c r="AC9" i="3"/>
  <c r="AA9" i="3"/>
  <c r="AA8" i="3"/>
  <c r="AA7" i="3"/>
  <c r="Y9" i="3"/>
  <c r="Y8" i="3"/>
  <c r="Y7" i="3"/>
  <c r="W9" i="3"/>
  <c r="W8" i="3"/>
  <c r="W7" i="3"/>
  <c r="U9" i="3"/>
  <c r="U8" i="3"/>
  <c r="U7" i="3"/>
  <c r="S9" i="3"/>
  <c r="S8" i="3"/>
  <c r="S7" i="3"/>
  <c r="Q9" i="3"/>
  <c r="Q8" i="3"/>
  <c r="Q7" i="3"/>
  <c r="O9" i="3"/>
  <c r="O8" i="3"/>
  <c r="O7" i="3"/>
  <c r="M9" i="3"/>
  <c r="M8" i="3"/>
  <c r="M7" i="3"/>
  <c r="K9" i="3"/>
  <c r="K8" i="3"/>
  <c r="K7" i="3"/>
  <c r="I9" i="3"/>
  <c r="I8" i="3"/>
  <c r="I7" i="3"/>
  <c r="G9" i="3"/>
  <c r="G8" i="3"/>
  <c r="G7" i="3"/>
  <c r="E9" i="3"/>
  <c r="E8" i="3"/>
  <c r="E7" i="3"/>
  <c r="C9" i="3"/>
  <c r="C8" i="3"/>
  <c r="C7" i="3"/>
  <c r="BA17" i="2" l="1"/>
  <c r="BC17" i="2"/>
  <c r="AY17" i="2"/>
  <c r="BC14" i="2"/>
  <c r="BA14" i="2"/>
  <c r="AY14" i="2"/>
  <c r="AK17" i="24" l="1"/>
  <c r="AK21" i="24" s="1"/>
  <c r="AC17" i="24"/>
  <c r="AC21" i="24" s="1"/>
  <c r="U17" i="24"/>
  <c r="AM17" i="24"/>
  <c r="AM21" i="24" s="1"/>
  <c r="AE17" i="24"/>
  <c r="AE21" i="24" s="1"/>
  <c r="W17" i="24"/>
  <c r="W21" i="24" s="1"/>
  <c r="M17" i="24"/>
  <c r="M21" i="24" s="1"/>
  <c r="G17" i="24"/>
  <c r="G21" i="24" s="1"/>
  <c r="E17" i="24"/>
  <c r="E21" i="24" s="1"/>
  <c r="AQ13" i="17"/>
  <c r="AQ17" i="17" s="1"/>
  <c r="AK13" i="17"/>
  <c r="AK17" i="17" s="1"/>
  <c r="AI13" i="17"/>
  <c r="AI17" i="17" s="1"/>
  <c r="U13" i="17"/>
  <c r="E13" i="17"/>
  <c r="E17" i="17" s="1"/>
  <c r="BE13" i="11"/>
  <c r="BC13" i="11"/>
  <c r="BA13" i="11"/>
  <c r="AS13" i="11"/>
  <c r="AS17" i="11" s="1"/>
  <c r="AQ13" i="11"/>
  <c r="AO13" i="11"/>
  <c r="AM13" i="11"/>
  <c r="AK13" i="11"/>
  <c r="AI13" i="11"/>
  <c r="AG13" i="11"/>
  <c r="AE13" i="11"/>
  <c r="AC13" i="11"/>
  <c r="AA13" i="11"/>
  <c r="Y13" i="11"/>
  <c r="W13" i="11"/>
  <c r="U13" i="11"/>
  <c r="S13" i="11"/>
  <c r="Q13" i="11"/>
  <c r="O13" i="11"/>
  <c r="M13" i="11"/>
  <c r="K13" i="11"/>
  <c r="I13" i="11"/>
  <c r="G13" i="11"/>
  <c r="E13" i="11"/>
  <c r="C13" i="11"/>
  <c r="BQ13" i="16"/>
  <c r="BQ12" i="16"/>
  <c r="BM17" i="16"/>
  <c r="BA22" i="2" s="1"/>
  <c r="BQ15" i="16"/>
  <c r="BQ14" i="16"/>
  <c r="BC17" i="16"/>
  <c r="BC21" i="16" s="1"/>
  <c r="AU17" i="16"/>
  <c r="AU21" i="16" s="1"/>
  <c r="O17" i="16"/>
  <c r="O22" i="2" s="1"/>
  <c r="AE17" i="16"/>
  <c r="BA17" i="16"/>
  <c r="BA21" i="16" s="1"/>
  <c r="AY17" i="16"/>
  <c r="AY21" i="16" s="1"/>
  <c r="AO17" i="16"/>
  <c r="Y17" i="16"/>
  <c r="I17" i="16"/>
  <c r="I22" i="2" s="1"/>
  <c r="C17" i="16"/>
  <c r="BM15" i="19"/>
  <c r="BC25" i="2" s="1"/>
  <c r="BK15" i="19"/>
  <c r="BA25" i="2" s="1"/>
  <c r="BI15" i="19"/>
  <c r="AY25" i="2" s="1"/>
  <c r="BE15" i="19"/>
  <c r="BE19" i="19" s="1"/>
  <c r="AC15" i="19"/>
  <c r="M15" i="19"/>
  <c r="K15" i="19"/>
  <c r="BO13" i="19"/>
  <c r="BO12" i="19"/>
  <c r="BC15" i="19"/>
  <c r="BC19" i="19" s="1"/>
  <c r="AM15" i="19"/>
  <c r="W15" i="19"/>
  <c r="G15" i="19"/>
  <c r="BO11" i="19"/>
  <c r="AW15" i="19"/>
  <c r="AW19" i="19" s="1"/>
  <c r="AS15" i="19"/>
  <c r="AO15" i="19"/>
  <c r="AG15" i="19"/>
  <c r="Y15" i="19"/>
  <c r="Q15" i="19"/>
  <c r="I15" i="19"/>
  <c r="E15" i="19"/>
  <c r="BY20" i="23"/>
  <c r="BC29" i="2" s="1"/>
  <c r="BW20" i="23"/>
  <c r="BA29" i="2" s="1"/>
  <c r="BU20" i="23"/>
  <c r="AY29" i="2" s="1"/>
  <c r="BQ20" i="23"/>
  <c r="BQ24" i="23" s="1"/>
  <c r="BO20" i="23"/>
  <c r="BO24" i="23" s="1"/>
  <c r="BM20" i="23"/>
  <c r="BM24" i="23" s="1"/>
  <c r="CA18" i="23"/>
  <c r="CA17" i="23"/>
  <c r="BA20" i="23"/>
  <c r="BA24" i="23" s="1"/>
  <c r="CA16" i="23"/>
  <c r="CA15" i="23"/>
  <c r="CA14" i="23"/>
  <c r="O20" i="23"/>
  <c r="O29" i="2" s="1"/>
  <c r="E20" i="23"/>
  <c r="CA13" i="23"/>
  <c r="BS20" i="23"/>
  <c r="AW29" i="2" s="1"/>
  <c r="BE20" i="23"/>
  <c r="BE24" i="23" s="1"/>
  <c r="CA11" i="23"/>
  <c r="BI20" i="23"/>
  <c r="BI24" i="23" s="1"/>
  <c r="AW20" i="23"/>
  <c r="AW24" i="23" s="1"/>
  <c r="AQ20" i="23"/>
  <c r="AO20" i="23"/>
  <c r="AI20" i="23"/>
  <c r="AG20" i="23"/>
  <c r="AA20" i="23"/>
  <c r="Y20" i="23"/>
  <c r="S20" i="23"/>
  <c r="Q20" i="23"/>
  <c r="Q29" i="2" s="1"/>
  <c r="C20" i="23"/>
  <c r="BG14" i="25"/>
  <c r="BC31" i="2" s="1"/>
  <c r="BE14" i="25"/>
  <c r="BA31" i="2" s="1"/>
  <c r="BC14" i="25"/>
  <c r="AY31" i="2" s="1"/>
  <c r="BA14" i="25"/>
  <c r="AW31" i="2" s="1"/>
  <c r="AG14" i="25"/>
  <c r="BI12" i="25"/>
  <c r="O14" i="25"/>
  <c r="BI11" i="25"/>
  <c r="AY14" i="25"/>
  <c r="AY18" i="25" s="1"/>
  <c r="AW14" i="25"/>
  <c r="AW18" i="25" s="1"/>
  <c r="AU14" i="25"/>
  <c r="AU18" i="25" s="1"/>
  <c r="AS14" i="25"/>
  <c r="AS18" i="25" s="1"/>
  <c r="AQ14" i="25"/>
  <c r="AO14" i="25"/>
  <c r="AM14" i="25"/>
  <c r="AK14" i="25"/>
  <c r="AI14" i="25"/>
  <c r="AE14" i="25"/>
  <c r="AC14" i="25"/>
  <c r="AA14" i="25"/>
  <c r="Y14" i="25"/>
  <c r="W14" i="25"/>
  <c r="U14" i="25"/>
  <c r="S14" i="25"/>
  <c r="Q14" i="25"/>
  <c r="K14" i="25"/>
  <c r="I14" i="25"/>
  <c r="G14" i="25"/>
  <c r="E14" i="25"/>
  <c r="C14" i="25"/>
  <c r="BG9" i="3"/>
  <c r="BG8" i="3"/>
  <c r="BG7" i="3"/>
  <c r="BE9" i="3"/>
  <c r="BE8" i="3"/>
  <c r="BE7" i="3"/>
  <c r="BC9" i="3"/>
  <c r="BC8" i="3"/>
  <c r="BC7" i="3"/>
  <c r="BA9" i="3"/>
  <c r="BA7" i="3"/>
  <c r="BA8" i="3"/>
  <c r="BE13" i="8"/>
  <c r="BC13" i="8"/>
  <c r="BA13" i="8"/>
  <c r="AW13" i="8"/>
  <c r="AU13" i="8"/>
  <c r="AU17" i="8" s="1"/>
  <c r="Q13" i="8"/>
  <c r="I13" i="8"/>
  <c r="AS13" i="8"/>
  <c r="AS17" i="8" s="1"/>
  <c r="AQ13" i="8"/>
  <c r="AO13" i="8"/>
  <c r="AM13" i="8"/>
  <c r="AK13" i="8"/>
  <c r="AI13" i="8"/>
  <c r="AG13" i="8"/>
  <c r="AE13" i="8"/>
  <c r="AC13" i="8"/>
  <c r="AA13" i="8"/>
  <c r="Y13" i="8"/>
  <c r="W13" i="8"/>
  <c r="U13" i="8"/>
  <c r="S13" i="8"/>
  <c r="O13" i="8"/>
  <c r="M13" i="8"/>
  <c r="K13" i="8"/>
  <c r="G13" i="8"/>
  <c r="E13" i="8"/>
  <c r="C13" i="8"/>
  <c r="BQ16" i="7"/>
  <c r="BO16" i="7"/>
  <c r="BM16" i="7"/>
  <c r="AW16" i="7"/>
  <c r="AW20" i="7" s="1"/>
  <c r="AK16" i="7"/>
  <c r="U16" i="7"/>
  <c r="BS14" i="7"/>
  <c r="BS13" i="7"/>
  <c r="BS12" i="7"/>
  <c r="K16" i="7"/>
  <c r="I16" i="7"/>
  <c r="BK16" i="7"/>
  <c r="BI16" i="7"/>
  <c r="AS13" i="2" s="1"/>
  <c r="AS16" i="7"/>
  <c r="AQ16" i="7"/>
  <c r="AI16" i="7"/>
  <c r="AC16" i="7"/>
  <c r="AA16" i="7"/>
  <c r="S16" i="7"/>
  <c r="G16" i="7"/>
  <c r="E16" i="7"/>
  <c r="BE14" i="6"/>
  <c r="BC14" i="6"/>
  <c r="BA14" i="6"/>
  <c r="AW14" i="6"/>
  <c r="AW18" i="6" s="1"/>
  <c r="AU14" i="6"/>
  <c r="AU18" i="6" s="1"/>
  <c r="AQ14" i="6"/>
  <c r="AQ18" i="6" s="1"/>
  <c r="O14" i="6"/>
  <c r="I14" i="6"/>
  <c r="AY14" i="6"/>
  <c r="AS14" i="6"/>
  <c r="AS18" i="6" s="1"/>
  <c r="AC14" i="6"/>
  <c r="AC18" i="6" s="1"/>
  <c r="K14" i="6"/>
  <c r="BG11" i="6"/>
  <c r="AO14" i="6"/>
  <c r="AO18" i="6" s="1"/>
  <c r="AM14" i="6"/>
  <c r="AM18" i="6" s="1"/>
  <c r="AI14" i="6"/>
  <c r="AI18" i="6" s="1"/>
  <c r="AG14" i="6"/>
  <c r="AG18" i="6" s="1"/>
  <c r="AE14" i="6"/>
  <c r="AE18" i="6" s="1"/>
  <c r="AA14" i="6"/>
  <c r="Y14" i="6"/>
  <c r="W14" i="6"/>
  <c r="S14" i="6"/>
  <c r="Q14" i="6"/>
  <c r="M14" i="6"/>
  <c r="G14" i="6"/>
  <c r="E14" i="6"/>
  <c r="C14" i="6"/>
  <c r="BE16" i="5"/>
  <c r="BC16" i="5"/>
  <c r="BA16" i="5"/>
  <c r="O16" i="5"/>
  <c r="O20" i="5" s="1"/>
  <c r="BG14" i="5"/>
  <c r="BG13" i="5"/>
  <c r="BG12" i="5"/>
  <c r="AY16" i="5"/>
  <c r="AU16" i="5"/>
  <c r="AU20" i="5" s="1"/>
  <c r="AS16" i="5"/>
  <c r="AS20" i="5" s="1"/>
  <c r="AM16" i="5"/>
  <c r="AM20" i="5" s="1"/>
  <c r="AK16" i="5"/>
  <c r="AK20" i="5" s="1"/>
  <c r="AE16" i="5"/>
  <c r="AE20" i="5" s="1"/>
  <c r="AC16" i="5"/>
  <c r="W16" i="5"/>
  <c r="W20" i="5" s="1"/>
  <c r="U16" i="5"/>
  <c r="M16" i="5"/>
  <c r="M20" i="5" s="1"/>
  <c r="E16" i="5"/>
  <c r="E20" i="5" s="1"/>
  <c r="AO17" i="24"/>
  <c r="AO21" i="24" s="1"/>
  <c r="AI17" i="24"/>
  <c r="AI21" i="24" s="1"/>
  <c r="AG17" i="24"/>
  <c r="AG21" i="24" s="1"/>
  <c r="AA17" i="24"/>
  <c r="AA21" i="24" s="1"/>
  <c r="Y17" i="24"/>
  <c r="Y21" i="24" s="1"/>
  <c r="S17" i="24"/>
  <c r="S21" i="24" s="1"/>
  <c r="Q17" i="24"/>
  <c r="Q21" i="24" s="1"/>
  <c r="O17" i="24"/>
  <c r="O21" i="24" s="1"/>
  <c r="K17" i="24"/>
  <c r="K21" i="24" s="1"/>
  <c r="I17" i="24"/>
  <c r="I21" i="24" s="1"/>
  <c r="AO13" i="17"/>
  <c r="AO17" i="17" s="1"/>
  <c r="AM13" i="17"/>
  <c r="AM17" i="17" s="1"/>
  <c r="AG13" i="17"/>
  <c r="AE13" i="17"/>
  <c r="AE17" i="17" s="1"/>
  <c r="AC13" i="17"/>
  <c r="AC17" i="17" s="1"/>
  <c r="AA13" i="17"/>
  <c r="AA17" i="17" s="1"/>
  <c r="Y13" i="17"/>
  <c r="Y17" i="17" s="1"/>
  <c r="W13" i="17"/>
  <c r="S13" i="17"/>
  <c r="S17" i="17" s="1"/>
  <c r="Q13" i="17"/>
  <c r="O13" i="17"/>
  <c r="M13" i="17"/>
  <c r="M17" i="17" s="1"/>
  <c r="K13" i="17"/>
  <c r="K17" i="17" s="1"/>
  <c r="I13" i="17"/>
  <c r="G13" i="17"/>
  <c r="G17" i="17" s="1"/>
  <c r="AO16" i="18"/>
  <c r="AM16" i="18"/>
  <c r="AK16" i="18"/>
  <c r="U16" i="18"/>
  <c r="S16" i="18"/>
  <c r="Q16" i="18"/>
  <c r="O16" i="18"/>
  <c r="M16" i="18"/>
  <c r="K16" i="18"/>
  <c r="I16" i="18"/>
  <c r="G16" i="18"/>
  <c r="E16" i="18"/>
  <c r="AI18" i="9"/>
  <c r="AI22" i="9" s="1"/>
  <c r="AG18" i="9"/>
  <c r="AG22" i="9" s="1"/>
  <c r="AE18" i="9"/>
  <c r="AE22" i="9" s="1"/>
  <c r="AC18" i="9"/>
  <c r="AC22" i="9" s="1"/>
  <c r="AA18" i="9"/>
  <c r="AA22" i="9" s="1"/>
  <c r="Y18" i="9"/>
  <c r="Y22" i="9" s="1"/>
  <c r="W18" i="9"/>
  <c r="W22" i="9" s="1"/>
  <c r="U18" i="9"/>
  <c r="S18" i="9"/>
  <c r="S22" i="9" s="1"/>
  <c r="Q18" i="9"/>
  <c r="Q22" i="9" s="1"/>
  <c r="O18" i="9"/>
  <c r="O22" i="9" s="1"/>
  <c r="M18" i="9"/>
  <c r="M22" i="9" s="1"/>
  <c r="K18" i="9"/>
  <c r="K22" i="9" s="1"/>
  <c r="I18" i="9"/>
  <c r="I22" i="9" s="1"/>
  <c r="AG13" i="12"/>
  <c r="AG17" i="12" s="1"/>
  <c r="AE13" i="12"/>
  <c r="AE17" i="12" s="1"/>
  <c r="AC13" i="12"/>
  <c r="AA13" i="12"/>
  <c r="AA17" i="12" s="1"/>
  <c r="Y13" i="12"/>
  <c r="Y17" i="12" s="1"/>
  <c r="W13" i="12"/>
  <c r="W17" i="12" s="1"/>
  <c r="U13" i="12"/>
  <c r="S13" i="12"/>
  <c r="S17" i="12" s="1"/>
  <c r="Q13" i="12"/>
  <c r="Q17" i="12" s="1"/>
  <c r="O13" i="12"/>
  <c r="M13" i="12"/>
  <c r="M17" i="12" s="1"/>
  <c r="K13" i="12"/>
  <c r="K17" i="12" s="1"/>
  <c r="I13" i="12"/>
  <c r="I17" i="12" s="1"/>
  <c r="BU19" i="15"/>
  <c r="BS19" i="15"/>
  <c r="AA19" i="15"/>
  <c r="AA21" i="2" s="1"/>
  <c r="Y19" i="15"/>
  <c r="W19" i="15"/>
  <c r="U19" i="15"/>
  <c r="U21" i="2" s="1"/>
  <c r="S19" i="15"/>
  <c r="Q19" i="15"/>
  <c r="O19" i="15"/>
  <c r="M19" i="15"/>
  <c r="K19" i="15"/>
  <c r="I19" i="15"/>
  <c r="G19" i="15"/>
  <c r="AW14" i="22"/>
  <c r="AW18" i="22" s="1"/>
  <c r="AU14" i="22"/>
  <c r="AU18" i="22" s="1"/>
  <c r="AS14" i="22"/>
  <c r="AS18" i="22" s="1"/>
  <c r="AQ14" i="22"/>
  <c r="AQ18" i="22" s="1"/>
  <c r="AY14" i="22"/>
  <c r="AY18" i="22" s="1"/>
  <c r="AO14" i="22"/>
  <c r="AO18" i="22" s="1"/>
  <c r="AM14" i="22"/>
  <c r="AM18" i="22" s="1"/>
  <c r="AK14" i="22"/>
  <c r="AK18" i="22" s="1"/>
  <c r="AI14" i="22"/>
  <c r="AI18" i="22" s="1"/>
  <c r="AG14" i="22"/>
  <c r="AG18" i="22" s="1"/>
  <c r="AE14" i="22"/>
  <c r="AE18" i="22" s="1"/>
  <c r="AC14" i="22"/>
  <c r="AC18" i="22" s="1"/>
  <c r="AA14" i="22"/>
  <c r="AA18" i="22" s="1"/>
  <c r="Y14" i="22"/>
  <c r="Y18" i="22" s="1"/>
  <c r="W14" i="22"/>
  <c r="W18" i="22" s="1"/>
  <c r="BG18" i="3"/>
  <c r="BE18" i="3"/>
  <c r="BC18" i="3"/>
  <c r="BA18" i="3"/>
  <c r="AK18" i="3"/>
  <c r="AK22" i="3" s="1"/>
  <c r="AI18" i="3"/>
  <c r="AI22" i="3" s="1"/>
  <c r="BI16" i="3"/>
  <c r="BI15" i="3"/>
  <c r="BI14" i="3"/>
  <c r="BI13" i="3"/>
  <c r="BI12" i="3"/>
  <c r="BI11" i="3"/>
  <c r="AW18" i="3"/>
  <c r="AW22" i="3" s="1"/>
  <c r="AG18" i="3"/>
  <c r="AG22" i="3" s="1"/>
  <c r="Q18" i="3"/>
  <c r="AC20" i="5" l="1"/>
  <c r="AC11" i="2"/>
  <c r="BU23" i="15"/>
  <c r="AS21" i="2"/>
  <c r="BS23" i="15"/>
  <c r="AQ21" i="2"/>
  <c r="Y23" i="15"/>
  <c r="Y21" i="2"/>
  <c r="W23" i="15"/>
  <c r="W21" i="2"/>
  <c r="S23" i="15"/>
  <c r="S21" i="2"/>
  <c r="Q23" i="15"/>
  <c r="Q21" i="2"/>
  <c r="O23" i="15"/>
  <c r="O21" i="2"/>
  <c r="M23" i="15"/>
  <c r="M21" i="2"/>
  <c r="K23" i="15"/>
  <c r="K21" i="2"/>
  <c r="I23" i="15"/>
  <c r="I21" i="2"/>
  <c r="G23" i="15"/>
  <c r="G21" i="2"/>
  <c r="BI14" i="25"/>
  <c r="U21" i="24"/>
  <c r="U17" i="17"/>
  <c r="U23" i="15"/>
  <c r="U17" i="12"/>
  <c r="U22" i="9"/>
  <c r="AA18" i="6"/>
  <c r="AA12" i="2"/>
  <c r="Y18" i="6"/>
  <c r="Y12" i="2"/>
  <c r="W18" i="6"/>
  <c r="W12" i="2"/>
  <c r="S18" i="6"/>
  <c r="S12" i="2"/>
  <c r="Q18" i="6"/>
  <c r="Q12" i="2"/>
  <c r="U20" i="5"/>
  <c r="E24" i="23"/>
  <c r="C17" i="8"/>
  <c r="AC17" i="8"/>
  <c r="S18" i="25"/>
  <c r="Q16" i="5"/>
  <c r="AW16" i="5"/>
  <c r="AW20" i="5" s="1"/>
  <c r="C18" i="6"/>
  <c r="K18" i="6"/>
  <c r="U20" i="7"/>
  <c r="U17" i="8"/>
  <c r="I17" i="8"/>
  <c r="Q18" i="25"/>
  <c r="AG18" i="25"/>
  <c r="S24" i="23"/>
  <c r="AI24" i="23"/>
  <c r="G19" i="19"/>
  <c r="AS19" i="19"/>
  <c r="I21" i="16"/>
  <c r="AO21" i="16"/>
  <c r="AK20" i="7"/>
  <c r="AQ18" i="25"/>
  <c r="O15" i="19"/>
  <c r="AE15" i="19"/>
  <c r="AC19" i="19"/>
  <c r="Q22" i="3"/>
  <c r="I18" i="3"/>
  <c r="I22" i="3" s="1"/>
  <c r="Q17" i="17"/>
  <c r="O18" i="6"/>
  <c r="E20" i="7"/>
  <c r="S20" i="7"/>
  <c r="AA20" i="7"/>
  <c r="AI20" i="7"/>
  <c r="AQ20" i="7"/>
  <c r="BI20" i="7"/>
  <c r="BC16" i="7"/>
  <c r="AG17" i="8"/>
  <c r="C18" i="25"/>
  <c r="K18" i="25"/>
  <c r="U18" i="25"/>
  <c r="AC18" i="25"/>
  <c r="AK18" i="25"/>
  <c r="BC20" i="23"/>
  <c r="BC24" i="23" s="1"/>
  <c r="O24" i="23"/>
  <c r="Y19" i="19"/>
  <c r="AO19" i="19"/>
  <c r="W17" i="17"/>
  <c r="AG16" i="5"/>
  <c r="AG20" i="5" s="1"/>
  <c r="M18" i="6"/>
  <c r="M17" i="8"/>
  <c r="AK17" i="8"/>
  <c r="C24" i="23"/>
  <c r="AA24" i="23"/>
  <c r="AQ24" i="23"/>
  <c r="I19" i="19"/>
  <c r="W19" i="19"/>
  <c r="AM19" i="19"/>
  <c r="Y21" i="16"/>
  <c r="O21" i="16"/>
  <c r="O17" i="17"/>
  <c r="G16" i="5"/>
  <c r="E18" i="6"/>
  <c r="I18" i="6"/>
  <c r="O17" i="8"/>
  <c r="AE17" i="8"/>
  <c r="Q17" i="8"/>
  <c r="I18" i="25"/>
  <c r="AA18" i="25"/>
  <c r="AI18" i="25"/>
  <c r="AU15" i="19"/>
  <c r="AU19" i="19" s="1"/>
  <c r="K18" i="3"/>
  <c r="K22" i="3" s="1"/>
  <c r="S18" i="3"/>
  <c r="AA18" i="3"/>
  <c r="AA22" i="3" s="1"/>
  <c r="AQ18" i="3"/>
  <c r="AQ22" i="3" s="1"/>
  <c r="AY18" i="3"/>
  <c r="AY22" i="3" s="1"/>
  <c r="C18" i="3"/>
  <c r="C22" i="3" s="1"/>
  <c r="G20" i="7"/>
  <c r="AC20" i="7"/>
  <c r="AS20" i="7"/>
  <c r="I20" i="7"/>
  <c r="K17" i="8"/>
  <c r="S17" i="8"/>
  <c r="AA17" i="8"/>
  <c r="AI17" i="8"/>
  <c r="AQ17" i="8"/>
  <c r="Q24" i="23"/>
  <c r="Y24" i="23"/>
  <c r="AG24" i="23"/>
  <c r="AO24" i="23"/>
  <c r="AA15" i="19"/>
  <c r="AQ15" i="19"/>
  <c r="K19" i="19"/>
  <c r="BK20" i="23"/>
  <c r="BK24" i="23" s="1"/>
  <c r="G20" i="23"/>
  <c r="U20" i="23"/>
  <c r="AK20" i="23"/>
  <c r="E19" i="19"/>
  <c r="Q19" i="19"/>
  <c r="AG19" i="19"/>
  <c r="C15" i="19"/>
  <c r="M19" i="19"/>
  <c r="C21" i="16"/>
  <c r="AE21" i="16"/>
  <c r="E17" i="11"/>
  <c r="M17" i="11"/>
  <c r="U17" i="11"/>
  <c r="AC17" i="11"/>
  <c r="AK17" i="11"/>
  <c r="M18" i="3"/>
  <c r="M22" i="3" s="1"/>
  <c r="AC18" i="3"/>
  <c r="AS18" i="3"/>
  <c r="AS22" i="3" s="1"/>
  <c r="W18" i="3"/>
  <c r="W22" i="3" s="1"/>
  <c r="AM18" i="3"/>
  <c r="AM22" i="3" s="1"/>
  <c r="E18" i="3"/>
  <c r="E22" i="3" s="1"/>
  <c r="I16" i="5"/>
  <c r="Y16" i="5"/>
  <c r="Y20" i="5" s="1"/>
  <c r="AO16" i="5"/>
  <c r="AO20" i="5" s="1"/>
  <c r="G18" i="6"/>
  <c r="M16" i="7"/>
  <c r="W16" i="7"/>
  <c r="AE16" i="7"/>
  <c r="AM16" i="7"/>
  <c r="AU16" i="7"/>
  <c r="AU20" i="7" s="1"/>
  <c r="BE16" i="7"/>
  <c r="K20" i="7"/>
  <c r="E17" i="8"/>
  <c r="W17" i="8"/>
  <c r="AM17" i="8"/>
  <c r="AW17" i="8"/>
  <c r="E18" i="25"/>
  <c r="M14" i="25"/>
  <c r="W18" i="25"/>
  <c r="AE18" i="25"/>
  <c r="AM18" i="25"/>
  <c r="O18" i="25"/>
  <c r="AC20" i="23"/>
  <c r="AS20" i="23"/>
  <c r="K20" i="23"/>
  <c r="I20" i="23"/>
  <c r="AY20" i="23"/>
  <c r="AY24" i="23" s="1"/>
  <c r="S15" i="19"/>
  <c r="AI15" i="19"/>
  <c r="AY15" i="19"/>
  <c r="AY19" i="19" s="1"/>
  <c r="G17" i="11"/>
  <c r="O17" i="11"/>
  <c r="W17" i="11"/>
  <c r="AE17" i="11"/>
  <c r="AM17" i="11"/>
  <c r="BG11" i="11"/>
  <c r="BG13" i="11" s="1"/>
  <c r="AW17" i="2"/>
  <c r="O18" i="3"/>
  <c r="O22" i="3" s="1"/>
  <c r="AE18" i="3"/>
  <c r="AE22" i="3" s="1"/>
  <c r="AU18" i="3"/>
  <c r="AU22" i="3" s="1"/>
  <c r="G18" i="3"/>
  <c r="G22" i="3" s="1"/>
  <c r="Y18" i="3"/>
  <c r="Y22" i="3" s="1"/>
  <c r="AO18" i="3"/>
  <c r="AO22" i="3" s="1"/>
  <c r="U18" i="3"/>
  <c r="C16" i="5"/>
  <c r="K16" i="5"/>
  <c r="S16" i="5"/>
  <c r="AA16" i="5"/>
  <c r="AA20" i="5" s="1"/>
  <c r="AI16" i="5"/>
  <c r="AI20" i="5" s="1"/>
  <c r="AQ16" i="5"/>
  <c r="AQ20" i="5" s="1"/>
  <c r="U14" i="6"/>
  <c r="U12" i="2" s="1"/>
  <c r="AK14" i="6"/>
  <c r="AK18" i="6" s="1"/>
  <c r="C16" i="7"/>
  <c r="Y16" i="7"/>
  <c r="AO16" i="7"/>
  <c r="BG16" i="7"/>
  <c r="Q16" i="7"/>
  <c r="AG16" i="7"/>
  <c r="AY16" i="7"/>
  <c r="AY20" i="7" s="1"/>
  <c r="O16" i="7"/>
  <c r="BA16" i="7"/>
  <c r="BA20" i="7" s="1"/>
  <c r="G17" i="8"/>
  <c r="Y17" i="8"/>
  <c r="AO17" i="8"/>
  <c r="BG11" i="8"/>
  <c r="BG13" i="8" s="1"/>
  <c r="AW14" i="2"/>
  <c r="G18" i="25"/>
  <c r="Y18" i="25"/>
  <c r="AO18" i="25"/>
  <c r="W20" i="23"/>
  <c r="AE20" i="23"/>
  <c r="AM20" i="23"/>
  <c r="AU20" i="23"/>
  <c r="AU24" i="23" s="1"/>
  <c r="BG20" i="23"/>
  <c r="BG24" i="23" s="1"/>
  <c r="M20" i="23"/>
  <c r="M29" i="2" s="1"/>
  <c r="U15" i="19"/>
  <c r="AK15" i="19"/>
  <c r="BA15" i="19"/>
  <c r="BA19" i="19" s="1"/>
  <c r="G17" i="16"/>
  <c r="W17" i="16"/>
  <c r="AM17" i="16"/>
  <c r="I17" i="11"/>
  <c r="Q17" i="11"/>
  <c r="Y17" i="11"/>
  <c r="AG17" i="11"/>
  <c r="AO17" i="11"/>
  <c r="C17" i="11"/>
  <c r="K17" i="11"/>
  <c r="S17" i="11"/>
  <c r="AA17" i="11"/>
  <c r="AI17" i="11"/>
  <c r="AQ17" i="11"/>
  <c r="BG16" i="5"/>
  <c r="AC17" i="12"/>
  <c r="O17" i="12"/>
  <c r="AO20" i="18"/>
  <c r="AM20" i="18"/>
  <c r="AK20" i="18"/>
  <c r="U20" i="18"/>
  <c r="S20" i="18"/>
  <c r="Q20" i="18"/>
  <c r="O20" i="18"/>
  <c r="M20" i="18"/>
  <c r="K20" i="18"/>
  <c r="I20" i="18"/>
  <c r="G20" i="18"/>
  <c r="E20" i="18"/>
  <c r="AA23" i="15"/>
  <c r="AG17" i="17"/>
  <c r="I17" i="17"/>
  <c r="AY13" i="11"/>
  <c r="K17" i="16"/>
  <c r="K22" i="2" s="1"/>
  <c r="AQ17" i="16"/>
  <c r="M17" i="16"/>
  <c r="M22" i="2" s="1"/>
  <c r="AC17" i="16"/>
  <c r="AS17" i="16"/>
  <c r="AA17" i="16"/>
  <c r="AW17" i="16"/>
  <c r="AW21" i="16" s="1"/>
  <c r="BK17" i="16"/>
  <c r="AY22" i="2" s="1"/>
  <c r="AG17" i="16"/>
  <c r="S17" i="16"/>
  <c r="AI17" i="16"/>
  <c r="BO17" i="16"/>
  <c r="BC22" i="2" s="1"/>
  <c r="Q17" i="16"/>
  <c r="Q22" i="2" s="1"/>
  <c r="BE17" i="16"/>
  <c r="BE21" i="16" s="1"/>
  <c r="E17" i="16"/>
  <c r="U17" i="16"/>
  <c r="AK17" i="16"/>
  <c r="AK22" i="2" s="1"/>
  <c r="BG17" i="16"/>
  <c r="BG21" i="16" s="1"/>
  <c r="BQ11" i="16"/>
  <c r="BQ17" i="16" s="1"/>
  <c r="BI17" i="16"/>
  <c r="AW22" i="2" s="1"/>
  <c r="BO15" i="19"/>
  <c r="BG15" i="19"/>
  <c r="AW25" i="2" s="1"/>
  <c r="CA12" i="23"/>
  <c r="CA20" i="23" s="1"/>
  <c r="AY13" i="8"/>
  <c r="BS11" i="7"/>
  <c r="BS16" i="7" s="1"/>
  <c r="BG12" i="6"/>
  <c r="BG14" i="6" s="1"/>
  <c r="BI18" i="3"/>
  <c r="BK20" i="21"/>
  <c r="BK24" i="21" s="1"/>
  <c r="AW20" i="21"/>
  <c r="AW24" i="21" s="1"/>
  <c r="AU20" i="21"/>
  <c r="AU24" i="21" s="1"/>
  <c r="AS20" i="21"/>
  <c r="AS24" i="21" s="1"/>
  <c r="AQ20" i="21"/>
  <c r="AQ24" i="21" s="1"/>
  <c r="AO20" i="21"/>
  <c r="AO24" i="21" s="1"/>
  <c r="AM20" i="21"/>
  <c r="AM24" i="21" s="1"/>
  <c r="AK20" i="21"/>
  <c r="AK24" i="21" s="1"/>
  <c r="AI20" i="21"/>
  <c r="AI24" i="21" s="1"/>
  <c r="AG20" i="21"/>
  <c r="AG24" i="21" s="1"/>
  <c r="AE20" i="21"/>
  <c r="AC20" i="21"/>
  <c r="AC24" i="21" s="1"/>
  <c r="AW20" i="20"/>
  <c r="AW24" i="20" s="1"/>
  <c r="AU20" i="20"/>
  <c r="AU24" i="20" s="1"/>
  <c r="AS20" i="20"/>
  <c r="AS24" i="20" s="1"/>
  <c r="AQ20" i="20"/>
  <c r="AQ24" i="20" s="1"/>
  <c r="AO20" i="20"/>
  <c r="AO24" i="20" s="1"/>
  <c r="AM20" i="20"/>
  <c r="AM24" i="20" s="1"/>
  <c r="AK20" i="20"/>
  <c r="AK24" i="20" s="1"/>
  <c r="AI20" i="20"/>
  <c r="AI24" i="20" s="1"/>
  <c r="AG20" i="20"/>
  <c r="AG24" i="20" s="1"/>
  <c r="AE20" i="20"/>
  <c r="AE24" i="20" s="1"/>
  <c r="BK25" i="14"/>
  <c r="BK29" i="14" s="1"/>
  <c r="BI25" i="14"/>
  <c r="BI29" i="14" s="1"/>
  <c r="AG25" i="14"/>
  <c r="AG29" i="14" s="1"/>
  <c r="AE25" i="14"/>
  <c r="AE29" i="14" s="1"/>
  <c r="AC25" i="14"/>
  <c r="AA25" i="14"/>
  <c r="AA29" i="14" s="1"/>
  <c r="Y25" i="14"/>
  <c r="Y29" i="14" s="1"/>
  <c r="W25" i="14"/>
  <c r="W29" i="14" s="1"/>
  <c r="U25" i="14"/>
  <c r="S25" i="14"/>
  <c r="S29" i="14" s="1"/>
  <c r="Q25" i="14"/>
  <c r="Q29" i="14" s="1"/>
  <c r="O25" i="14"/>
  <c r="O29" i="14" s="1"/>
  <c r="Q29" i="13"/>
  <c r="O29" i="13"/>
  <c r="M29" i="13"/>
  <c r="AC29" i="14" l="1"/>
  <c r="AC20" i="2"/>
  <c r="AC22" i="3"/>
  <c r="AC9" i="2"/>
  <c r="AE24" i="21"/>
  <c r="AE27" i="2"/>
  <c r="Q33" i="13"/>
  <c r="Q19" i="2"/>
  <c r="O33" i="13"/>
  <c r="O19" i="2"/>
  <c r="M33" i="13"/>
  <c r="M19" i="2"/>
  <c r="U29" i="14"/>
  <c r="U18" i="6"/>
  <c r="U22" i="3"/>
  <c r="Q21" i="16"/>
  <c r="AQ21" i="16"/>
  <c r="AM21" i="16"/>
  <c r="AM24" i="23"/>
  <c r="AG20" i="7"/>
  <c r="AI19" i="19"/>
  <c r="M18" i="25"/>
  <c r="G24" i="23"/>
  <c r="K21" i="16"/>
  <c r="AK19" i="19"/>
  <c r="AE24" i="23"/>
  <c r="C20" i="7"/>
  <c r="S20" i="5"/>
  <c r="S19" i="19"/>
  <c r="AA21" i="16"/>
  <c r="M21" i="16"/>
  <c r="M24" i="23"/>
  <c r="AO20" i="7"/>
  <c r="C20" i="5"/>
  <c r="I24" i="23"/>
  <c r="AC24" i="23"/>
  <c r="BE20" i="7"/>
  <c r="W20" i="7"/>
  <c r="U24" i="23"/>
  <c r="AA19" i="19"/>
  <c r="S22" i="3"/>
  <c r="BC20" i="7"/>
  <c r="O19" i="19"/>
  <c r="AK21" i="16"/>
  <c r="AI21" i="16"/>
  <c r="Y20" i="7"/>
  <c r="K24" i="23"/>
  <c r="M20" i="7"/>
  <c r="U21" i="16"/>
  <c r="S21" i="16"/>
  <c r="AS21" i="16"/>
  <c r="W21" i="16"/>
  <c r="Q20" i="7"/>
  <c r="AM20" i="7"/>
  <c r="C19" i="19"/>
  <c r="G20" i="5"/>
  <c r="E21" i="16"/>
  <c r="AG21" i="16"/>
  <c r="AC21" i="16"/>
  <c r="G21" i="16"/>
  <c r="U19" i="19"/>
  <c r="W24" i="23"/>
  <c r="O20" i="7"/>
  <c r="BG20" i="7"/>
  <c r="K20" i="5"/>
  <c r="AS24" i="23"/>
  <c r="AE20" i="7"/>
  <c r="I20" i="5"/>
  <c r="AK24" i="23"/>
  <c r="AQ19" i="19"/>
  <c r="AE19" i="19"/>
  <c r="Q20" i="5"/>
  <c r="AM34" i="10"/>
  <c r="AM38" i="10" s="1"/>
  <c r="BA34" i="10"/>
  <c r="BA38" i="10" s="1"/>
  <c r="AO34" i="10" l="1"/>
  <c r="AO38" i="10" s="1"/>
  <c r="AQ34" i="10"/>
  <c r="AQ38" i="10" s="1"/>
  <c r="BQ34" i="10"/>
  <c r="BQ38" i="10" s="1"/>
  <c r="BK34" i="10"/>
  <c r="BK38" i="10" s="1"/>
  <c r="AI34" i="10"/>
  <c r="AI38" i="10" s="1"/>
  <c r="AK34" i="10"/>
  <c r="AK38" i="10" s="1"/>
  <c r="BC34" i="10"/>
  <c r="BC38" i="10" s="1"/>
  <c r="BS34" i="10"/>
  <c r="BS38" i="10" s="1"/>
  <c r="BI34" i="10"/>
  <c r="BI38" i="10" s="1"/>
  <c r="BG34" i="10"/>
  <c r="BG38" i="10" s="1"/>
  <c r="BE34" i="10"/>
  <c r="BE38" i="10" s="1"/>
  <c r="BO34" i="10"/>
  <c r="BO38" i="10" s="1"/>
  <c r="AG34" i="10"/>
  <c r="BM34" i="10"/>
  <c r="BM38" i="10" s="1"/>
  <c r="AQ33" i="4"/>
  <c r="AK33" i="4"/>
  <c r="AK10" i="2" s="1"/>
  <c r="AI33" i="4"/>
  <c r="AI10" i="2" s="1"/>
  <c r="AM33" i="4" l="1"/>
  <c r="AM37" i="4" s="1"/>
  <c r="AO33" i="4"/>
  <c r="AO37" i="4" s="1"/>
  <c r="AQ37" i="4"/>
  <c r="AG38" i="10"/>
  <c r="AI37" i="4"/>
  <c r="AS33" i="4"/>
  <c r="AK37" i="4"/>
  <c r="AG33" i="4"/>
  <c r="AG10" i="2" s="1"/>
  <c r="AS37" i="4" l="1"/>
  <c r="AG37" i="4"/>
  <c r="BA33" i="4" l="1"/>
  <c r="AY33" i="4"/>
  <c r="AW33" i="4"/>
  <c r="AW37" i="4" s="1"/>
  <c r="AU33" i="4"/>
  <c r="AU37" i="4" s="1"/>
  <c r="AE33" i="4"/>
  <c r="AE10" i="2" s="1"/>
  <c r="BA37" i="4" l="1"/>
  <c r="AS10" i="2"/>
  <c r="AY37" i="4"/>
  <c r="AQ10" i="2"/>
  <c r="AE37" i="4"/>
  <c r="AK33" i="2" l="1"/>
  <c r="AK37" i="2" l="1"/>
  <c r="CC34" i="10" l="1"/>
  <c r="BA16" i="2" s="1"/>
  <c r="AY12" i="24"/>
  <c r="AY13" i="24"/>
  <c r="AY14" i="24"/>
  <c r="AY15" i="24"/>
  <c r="AS17" i="24"/>
  <c r="AY30" i="2" s="1"/>
  <c r="AU17" i="24"/>
  <c r="BA30" i="2" s="1"/>
  <c r="AW17" i="24"/>
  <c r="BC30" i="2" s="1"/>
  <c r="BI11" i="22"/>
  <c r="U14" i="22"/>
  <c r="E14" i="22"/>
  <c r="M14" i="22"/>
  <c r="BE14" i="22"/>
  <c r="BA28" i="2" s="1"/>
  <c r="BG14" i="22"/>
  <c r="BC28" i="2" s="1"/>
  <c r="M20" i="21"/>
  <c r="W20" i="21"/>
  <c r="BU11" i="21"/>
  <c r="BU12" i="21"/>
  <c r="S20" i="21"/>
  <c r="BU13" i="21"/>
  <c r="BU14" i="21"/>
  <c r="BU16" i="21"/>
  <c r="BU17" i="21"/>
  <c r="BU18" i="21"/>
  <c r="C20" i="21"/>
  <c r="Y20" i="21"/>
  <c r="AA20" i="21"/>
  <c r="AY20" i="21"/>
  <c r="AY24" i="21" s="1"/>
  <c r="BO20" i="21"/>
  <c r="AY27" i="2" s="1"/>
  <c r="BQ20" i="21"/>
  <c r="BA27" i="2" s="1"/>
  <c r="BS20" i="21"/>
  <c r="BC27" i="2" s="1"/>
  <c r="BM13" i="20"/>
  <c r="BM14" i="20"/>
  <c r="BM16" i="20"/>
  <c r="BM17" i="20"/>
  <c r="BM18" i="20"/>
  <c r="AA20" i="20"/>
  <c r="AY20" i="20"/>
  <c r="AY24" i="20" s="1"/>
  <c r="BA20" i="20"/>
  <c r="BA24" i="20" s="1"/>
  <c r="BC20" i="20"/>
  <c r="BC24" i="20" s="1"/>
  <c r="BG20" i="20"/>
  <c r="AY26" i="2" s="1"/>
  <c r="BI20" i="20"/>
  <c r="BA26" i="2" s="1"/>
  <c r="BK20" i="20"/>
  <c r="BC26" i="2" s="1"/>
  <c r="AY11" i="18"/>
  <c r="AY12" i="18"/>
  <c r="AY14" i="18"/>
  <c r="AS16" i="18"/>
  <c r="AY24" i="2" s="1"/>
  <c r="AU16" i="18"/>
  <c r="BA24" i="2" s="1"/>
  <c r="AW16" i="18"/>
  <c r="BC24" i="2" s="1"/>
  <c r="C13" i="17"/>
  <c r="AU13" i="17"/>
  <c r="AS13" i="17"/>
  <c r="AW13" i="17"/>
  <c r="BA23" i="2" s="1"/>
  <c r="AY13" i="17"/>
  <c r="BC23" i="2" s="1"/>
  <c r="BE19" i="15"/>
  <c r="BE23" i="15" s="1"/>
  <c r="CE13" i="15"/>
  <c r="CE14" i="15"/>
  <c r="CE15" i="15"/>
  <c r="CE16" i="15"/>
  <c r="CE17" i="15"/>
  <c r="C19" i="15"/>
  <c r="C21" i="2" s="1"/>
  <c r="E19" i="15"/>
  <c r="E21" i="2" s="1"/>
  <c r="AW19" i="15"/>
  <c r="AW23" i="15" s="1"/>
  <c r="AY19" i="15"/>
  <c r="AY23" i="15" s="1"/>
  <c r="CA19" i="15"/>
  <c r="BA21" i="2" s="1"/>
  <c r="CC19" i="15"/>
  <c r="BC21" i="2" s="1"/>
  <c r="BU12" i="14"/>
  <c r="BU13" i="14"/>
  <c r="BU14" i="14"/>
  <c r="BU15" i="14"/>
  <c r="BU16" i="14"/>
  <c r="BU17" i="14"/>
  <c r="BU18" i="14"/>
  <c r="BU19" i="14"/>
  <c r="BU20" i="14"/>
  <c r="BU21" i="14"/>
  <c r="BU22" i="14"/>
  <c r="BU23" i="14"/>
  <c r="C25" i="14"/>
  <c r="BO25" i="14"/>
  <c r="AY20" i="2" s="1"/>
  <c r="BQ25" i="14"/>
  <c r="BA20" i="2" s="1"/>
  <c r="BS25" i="14"/>
  <c r="BC20" i="2" s="1"/>
  <c r="BC11" i="13"/>
  <c r="BC12" i="13"/>
  <c r="K29" i="13"/>
  <c r="K19" i="2" s="1"/>
  <c r="BC14" i="13"/>
  <c r="AM29" i="13"/>
  <c r="BC15" i="13"/>
  <c r="BC16" i="13"/>
  <c r="BC17" i="13"/>
  <c r="BC18" i="13"/>
  <c r="BC19" i="13"/>
  <c r="BC20" i="13"/>
  <c r="BC21" i="13"/>
  <c r="BC22" i="13"/>
  <c r="BC23" i="13"/>
  <c r="BC24" i="13"/>
  <c r="BC25" i="13"/>
  <c r="BC26" i="13"/>
  <c r="BC27" i="13"/>
  <c r="U29" i="13"/>
  <c r="U19" i="2" s="1"/>
  <c r="AW29" i="13"/>
  <c r="AY19" i="2" s="1"/>
  <c r="AY29" i="13"/>
  <c r="BA19" i="2" s="1"/>
  <c r="BA29" i="13"/>
  <c r="BC19" i="2" s="1"/>
  <c r="BC13" i="12"/>
  <c r="BM11" i="12"/>
  <c r="BM13" i="12" s="1"/>
  <c r="BG13" i="12"/>
  <c r="AY18" i="2" s="1"/>
  <c r="C13" i="12"/>
  <c r="E13" i="12"/>
  <c r="G13" i="12"/>
  <c r="AI13" i="12"/>
  <c r="AI17" i="12" s="1"/>
  <c r="AK13" i="12"/>
  <c r="AM13" i="12"/>
  <c r="AO13" i="12"/>
  <c r="AQ13" i="12"/>
  <c r="AS13" i="12"/>
  <c r="AU13" i="12"/>
  <c r="AU17" i="12" s="1"/>
  <c r="AW13" i="12"/>
  <c r="AW17" i="12" s="1"/>
  <c r="AY13" i="12"/>
  <c r="AY17" i="12" s="1"/>
  <c r="BA13" i="12"/>
  <c r="BA17" i="12" s="1"/>
  <c r="BE13" i="12"/>
  <c r="AW18" i="2" s="1"/>
  <c r="BI13" i="12"/>
  <c r="BA18" i="2" s="1"/>
  <c r="BK13" i="12"/>
  <c r="BC18" i="2" s="1"/>
  <c r="CG12" i="10"/>
  <c r="CG13" i="10"/>
  <c r="CG14" i="10"/>
  <c r="AY34" i="10"/>
  <c r="AY38" i="10" s="1"/>
  <c r="CG15" i="10"/>
  <c r="CG16" i="10"/>
  <c r="CG17" i="10"/>
  <c r="CG18" i="10"/>
  <c r="CG19" i="10"/>
  <c r="CG20" i="10"/>
  <c r="CG21" i="10"/>
  <c r="CG22" i="10"/>
  <c r="CG23" i="10"/>
  <c r="CG24" i="10"/>
  <c r="CG25" i="10"/>
  <c r="CG26" i="10"/>
  <c r="CG27" i="10"/>
  <c r="CG28" i="10"/>
  <c r="CG29" i="10"/>
  <c r="CG30" i="10"/>
  <c r="CG31" i="10"/>
  <c r="CG32" i="10"/>
  <c r="Y34" i="10"/>
  <c r="CA34" i="10"/>
  <c r="AY16" i="2" s="1"/>
  <c r="CE34" i="10"/>
  <c r="BC16" i="2" s="1"/>
  <c r="BQ13" i="9"/>
  <c r="BQ15" i="9"/>
  <c r="BQ16" i="9"/>
  <c r="BM18" i="9"/>
  <c r="BA15" i="2" s="1"/>
  <c r="BO18" i="9"/>
  <c r="BC15" i="2" s="1"/>
  <c r="AY13" i="2"/>
  <c r="BA13" i="2"/>
  <c r="AY12" i="2"/>
  <c r="BA12" i="2"/>
  <c r="BC12" i="2"/>
  <c r="BA11" i="2"/>
  <c r="BC11" i="2"/>
  <c r="Y33" i="4"/>
  <c r="Y10" i="2" s="1"/>
  <c r="M33" i="4"/>
  <c r="M10" i="2" s="1"/>
  <c r="BK12" i="4"/>
  <c r="BK13" i="4"/>
  <c r="BK14" i="4"/>
  <c r="BK15" i="4"/>
  <c r="I33" i="4"/>
  <c r="I10" i="2" s="1"/>
  <c r="BK16" i="4"/>
  <c r="BK17" i="4"/>
  <c r="BK19" i="4"/>
  <c r="BK20" i="4"/>
  <c r="BK21" i="4"/>
  <c r="BK22" i="4"/>
  <c r="BK23" i="4"/>
  <c r="BK24" i="4"/>
  <c r="BK25" i="4"/>
  <c r="BK26" i="4"/>
  <c r="BK27" i="4"/>
  <c r="BK28" i="4"/>
  <c r="BK29" i="4"/>
  <c r="BK30" i="4"/>
  <c r="BK31" i="4"/>
  <c r="W33" i="4"/>
  <c r="W10" i="2" s="1"/>
  <c r="AA33" i="4"/>
  <c r="AA10" i="2" s="1"/>
  <c r="AC33" i="4"/>
  <c r="AC10" i="2" s="1"/>
  <c r="BE33" i="4"/>
  <c r="AY10" i="2" s="1"/>
  <c r="BI33" i="4"/>
  <c r="BC10" i="2" s="1"/>
  <c r="AY9" i="2"/>
  <c r="BC9" i="2"/>
  <c r="AY11" i="2"/>
  <c r="BC13" i="2"/>
  <c r="AW23" i="2"/>
  <c r="AY23" i="2"/>
  <c r="AU33" i="2"/>
  <c r="AQ17" i="12" l="1"/>
  <c r="AO17" i="12"/>
  <c r="AM17" i="12"/>
  <c r="G17" i="12"/>
  <c r="E17" i="12"/>
  <c r="AA24" i="20"/>
  <c r="Y24" i="21"/>
  <c r="S24" i="21"/>
  <c r="M18" i="22"/>
  <c r="E18" i="22"/>
  <c r="E23" i="15"/>
  <c r="AM33" i="13"/>
  <c r="AC37" i="4"/>
  <c r="AA37" i="4"/>
  <c r="W37" i="4"/>
  <c r="Y37" i="4"/>
  <c r="C17" i="24"/>
  <c r="U18" i="22"/>
  <c r="BA14" i="22"/>
  <c r="AW28" i="2" s="1"/>
  <c r="Q14" i="22"/>
  <c r="I14" i="22"/>
  <c r="C14" i="22"/>
  <c r="S14" i="22"/>
  <c r="K14" i="22"/>
  <c r="O14" i="22"/>
  <c r="G14" i="22"/>
  <c r="BM20" i="21"/>
  <c r="AW27" i="2" s="1"/>
  <c r="BE27" i="2" s="1"/>
  <c r="BG27" i="2" s="1"/>
  <c r="AA24" i="21"/>
  <c r="BC20" i="21"/>
  <c r="BC24" i="21" s="1"/>
  <c r="K20" i="21"/>
  <c r="BM15" i="20"/>
  <c r="Y20" i="20"/>
  <c r="Q20" i="20"/>
  <c r="Q26" i="2" s="1"/>
  <c r="I20" i="20"/>
  <c r="AC16" i="18"/>
  <c r="AE16" i="18"/>
  <c r="W16" i="18"/>
  <c r="Y16" i="18"/>
  <c r="C17" i="17"/>
  <c r="C23" i="15"/>
  <c r="AU19" i="15"/>
  <c r="AU23" i="15" s="1"/>
  <c r="AO19" i="15"/>
  <c r="AG19" i="15"/>
  <c r="AG21" i="2" s="1"/>
  <c r="BC19" i="15"/>
  <c r="BC23" i="15" s="1"/>
  <c r="BM19" i="15"/>
  <c r="BM23" i="15" s="1"/>
  <c r="BC25" i="14"/>
  <c r="BC29" i="14" s="1"/>
  <c r="C29" i="14"/>
  <c r="BA25" i="14"/>
  <c r="BA29" i="14" s="1"/>
  <c r="AQ29" i="13"/>
  <c r="C17" i="12"/>
  <c r="AS17" i="12"/>
  <c r="AK17" i="12"/>
  <c r="BC17" i="12"/>
  <c r="O34" i="10"/>
  <c r="O16" i="2" s="1"/>
  <c r="AW34" i="10"/>
  <c r="Q34" i="10"/>
  <c r="W34" i="10"/>
  <c r="BQ11" i="9"/>
  <c r="AW18" i="9"/>
  <c r="AW22" i="9" s="1"/>
  <c r="AO18" i="9"/>
  <c r="E18" i="9"/>
  <c r="AS18" i="9"/>
  <c r="AK18" i="9"/>
  <c r="BE18" i="9"/>
  <c r="BE22" i="9" s="1"/>
  <c r="AU18" i="9"/>
  <c r="AU22" i="9" s="1"/>
  <c r="BQ14" i="9"/>
  <c r="BC18" i="9"/>
  <c r="BC22" i="9" s="1"/>
  <c r="BK18" i="9"/>
  <c r="AY15" i="2" s="1"/>
  <c r="I37" i="4"/>
  <c r="BK18" i="4"/>
  <c r="S33" i="4"/>
  <c r="S10" i="2" s="1"/>
  <c r="E33" i="4"/>
  <c r="E10" i="2" s="1"/>
  <c r="BG33" i="4"/>
  <c r="BA10" i="2" s="1"/>
  <c r="U33" i="4"/>
  <c r="O33" i="4"/>
  <c r="O10" i="2" s="1"/>
  <c r="G33" i="4"/>
  <c r="G10" i="2" s="1"/>
  <c r="BE25" i="2"/>
  <c r="BG25" i="2" s="1"/>
  <c r="AS34" i="10"/>
  <c r="K25" i="14"/>
  <c r="AK25" i="14"/>
  <c r="I25" i="14"/>
  <c r="AE19" i="15"/>
  <c r="AE21" i="2" s="1"/>
  <c r="K20" i="20"/>
  <c r="AC34" i="10"/>
  <c r="AE34" i="10"/>
  <c r="G34" i="10"/>
  <c r="G16" i="2" s="1"/>
  <c r="U33" i="13"/>
  <c r="AU25" i="14"/>
  <c r="BM25" i="14"/>
  <c r="AW20" i="2" s="1"/>
  <c r="BE20" i="2" s="1"/>
  <c r="BG20" i="2" s="1"/>
  <c r="AY25" i="14"/>
  <c r="AY29" i="14" s="1"/>
  <c r="AI25" i="14"/>
  <c r="G25" i="14"/>
  <c r="G20" i="2" s="1"/>
  <c r="AM18" i="9"/>
  <c r="BA18" i="9"/>
  <c r="Y38" i="10"/>
  <c r="M37" i="4"/>
  <c r="AM25" i="14"/>
  <c r="AS25" i="14"/>
  <c r="AG16" i="18"/>
  <c r="S20" i="20"/>
  <c r="C20" i="20"/>
  <c r="BK11" i="4"/>
  <c r="CG11" i="10"/>
  <c r="CG34" i="10" s="1"/>
  <c r="BY34" i="10"/>
  <c r="AW16" i="2" s="1"/>
  <c r="BE16" i="2" s="1"/>
  <c r="BG16" i="2" s="1"/>
  <c r="BG25" i="14"/>
  <c r="BG29" i="14" s="1"/>
  <c r="AQ25" i="14"/>
  <c r="BA9" i="2"/>
  <c r="BC33" i="4"/>
  <c r="AW11" i="2"/>
  <c r="BE11" i="2" s="1"/>
  <c r="BG11" i="2" s="1"/>
  <c r="BQ12" i="9"/>
  <c r="BI18" i="9"/>
  <c r="AW15" i="2" s="1"/>
  <c r="C18" i="9"/>
  <c r="M34" i="10"/>
  <c r="K33" i="13"/>
  <c r="BC13" i="13"/>
  <c r="BC29" i="13" s="1"/>
  <c r="AU29" i="13"/>
  <c r="AW19" i="2" s="1"/>
  <c r="BE19" i="2" s="1"/>
  <c r="BG19" i="2" s="1"/>
  <c r="AS29" i="13"/>
  <c r="AI29" i="13"/>
  <c r="AA29" i="13"/>
  <c r="AA19" i="2" s="1"/>
  <c r="AA33" i="2" s="1"/>
  <c r="S29" i="13"/>
  <c r="S19" i="2" s="1"/>
  <c r="E29" i="13"/>
  <c r="E19" i="2" s="1"/>
  <c r="AG29" i="13"/>
  <c r="AG19" i="2" s="1"/>
  <c r="Y29" i="13"/>
  <c r="Y19" i="2" s="1"/>
  <c r="C29" i="13"/>
  <c r="C19" i="2" s="1"/>
  <c r="BE23" i="2"/>
  <c r="BG23" i="2" s="1"/>
  <c r="AW12" i="2"/>
  <c r="BE12" i="2" s="1"/>
  <c r="BG12" i="2" s="1"/>
  <c r="AW13" i="2"/>
  <c r="BE13" i="2" s="1"/>
  <c r="BG13" i="2" s="1"/>
  <c r="BE14" i="2"/>
  <c r="BG14" i="2" s="1"/>
  <c r="BG18" i="9"/>
  <c r="BG22" i="9" s="1"/>
  <c r="AY18" i="9"/>
  <c r="AQ18" i="9"/>
  <c r="G18" i="9"/>
  <c r="AK29" i="13"/>
  <c r="AC29" i="13"/>
  <c r="AC19" i="2" s="1"/>
  <c r="AE29" i="13"/>
  <c r="AE19" i="2" s="1"/>
  <c r="W29" i="13"/>
  <c r="W19" i="2" s="1"/>
  <c r="I29" i="13"/>
  <c r="I19" i="2" s="1"/>
  <c r="AY13" i="18"/>
  <c r="AY16" i="18" s="1"/>
  <c r="AQ16" i="18"/>
  <c r="AI16" i="18"/>
  <c r="AA16" i="18"/>
  <c r="AW9" i="2"/>
  <c r="Q33" i="4"/>
  <c r="Q10" i="2" s="1"/>
  <c r="K33" i="4"/>
  <c r="K10" i="2" s="1"/>
  <c r="C33" i="4"/>
  <c r="C10" i="2" s="1"/>
  <c r="U34" i="10"/>
  <c r="E34" i="10"/>
  <c r="E16" i="2" s="1"/>
  <c r="BE17" i="2"/>
  <c r="BG17" i="2" s="1"/>
  <c r="G29" i="13"/>
  <c r="G19" i="2" s="1"/>
  <c r="CE11" i="15"/>
  <c r="BY19" i="15"/>
  <c r="AY21" i="2" s="1"/>
  <c r="BK19" i="15"/>
  <c r="BK23" i="15" s="1"/>
  <c r="AQ19" i="15"/>
  <c r="AI19" i="15"/>
  <c r="AM21" i="2" s="1"/>
  <c r="AC19" i="15"/>
  <c r="M24" i="21"/>
  <c r="I34" i="10"/>
  <c r="BO19" i="15"/>
  <c r="BO23" i="15" s="1"/>
  <c r="BG19" i="15"/>
  <c r="BG23" i="15" s="1"/>
  <c r="AM19" i="15"/>
  <c r="C24" i="21"/>
  <c r="AY11" i="24"/>
  <c r="AY17" i="24" s="1"/>
  <c r="AQ17" i="24"/>
  <c r="AW30" i="2" s="1"/>
  <c r="BE30" i="2" s="1"/>
  <c r="BG30" i="2" s="1"/>
  <c r="BE25" i="14"/>
  <c r="BE29" i="14" s="1"/>
  <c r="AW25" i="14"/>
  <c r="AO25" i="14"/>
  <c r="M25" i="14"/>
  <c r="E25" i="14"/>
  <c r="BI20" i="21"/>
  <c r="BI24" i="21" s="1"/>
  <c r="BA20" i="21"/>
  <c r="BA24" i="21" s="1"/>
  <c r="Q20" i="21"/>
  <c r="I20" i="21"/>
  <c r="BG20" i="21"/>
  <c r="BG24" i="21" s="1"/>
  <c r="W24" i="21"/>
  <c r="O20" i="21"/>
  <c r="G20" i="21"/>
  <c r="BU34" i="10"/>
  <c r="S34" i="10"/>
  <c r="K34" i="10"/>
  <c r="C34" i="10"/>
  <c r="BW34" i="10"/>
  <c r="AU34" i="10"/>
  <c r="AA34" i="10"/>
  <c r="CE12" i="15"/>
  <c r="BW19" i="15"/>
  <c r="AW21" i="2" s="1"/>
  <c r="BQ19" i="15"/>
  <c r="BQ23" i="15" s="1"/>
  <c r="BI19" i="15"/>
  <c r="BI23" i="15" s="1"/>
  <c r="BA19" i="15"/>
  <c r="BA23" i="15" s="1"/>
  <c r="AS19" i="15"/>
  <c r="AK19" i="15"/>
  <c r="AO21" i="2" s="1"/>
  <c r="BA11" i="17"/>
  <c r="BA13" i="17" s="1"/>
  <c r="BM12" i="20"/>
  <c r="BE20" i="20"/>
  <c r="AW26" i="2" s="1"/>
  <c r="BE26" i="2" s="1"/>
  <c r="BG26" i="2" s="1"/>
  <c r="AC20" i="20"/>
  <c r="BE20" i="21"/>
  <c r="BE24" i="21" s="1"/>
  <c r="U20" i="21"/>
  <c r="E20" i="21"/>
  <c r="W20" i="20"/>
  <c r="O20" i="20"/>
  <c r="O26" i="2" s="1"/>
  <c r="G20" i="20"/>
  <c r="BI12" i="22"/>
  <c r="BI14" i="22" s="1"/>
  <c r="BE29" i="2"/>
  <c r="BG29" i="2" s="1"/>
  <c r="BM11" i="20"/>
  <c r="U20" i="20"/>
  <c r="M20" i="20"/>
  <c r="M26" i="2" s="1"/>
  <c r="E20" i="20"/>
  <c r="BU15" i="21"/>
  <c r="BU20" i="21" s="1"/>
  <c r="BC14" i="22"/>
  <c r="AY28" i="2" s="1"/>
  <c r="BE31" i="2"/>
  <c r="BG31" i="2" s="1"/>
  <c r="BU25" i="14"/>
  <c r="BE22" i="2"/>
  <c r="BG22" i="2" s="1"/>
  <c r="BE18" i="2"/>
  <c r="BG18" i="2" s="1"/>
  <c r="BC33" i="2"/>
  <c r="BW38" i="10" l="1"/>
  <c r="AS16" i="2"/>
  <c r="BU38" i="10"/>
  <c r="AQ16" i="2"/>
  <c r="AC21" i="2"/>
  <c r="AC33" i="2"/>
  <c r="S33" i="2"/>
  <c r="AS33" i="13"/>
  <c r="AS19" i="2"/>
  <c r="AO33" i="2"/>
  <c r="AQ19" i="2"/>
  <c r="AM33" i="2"/>
  <c r="AA37" i="2"/>
  <c r="U10" i="2"/>
  <c r="U33" i="2" s="1"/>
  <c r="AC24" i="20"/>
  <c r="Y24" i="20"/>
  <c r="Q24" i="20"/>
  <c r="I24" i="20"/>
  <c r="O18" i="22"/>
  <c r="AW24" i="2"/>
  <c r="BE24" i="2" s="1"/>
  <c r="BG24" i="2" s="1"/>
  <c r="Y20" i="18"/>
  <c r="W20" i="18"/>
  <c r="BQ18" i="9"/>
  <c r="AS22" i="9"/>
  <c r="AO22" i="9"/>
  <c r="AK22" i="9"/>
  <c r="E22" i="9"/>
  <c r="AW29" i="14"/>
  <c r="AU29" i="14"/>
  <c r="AQ33" i="13"/>
  <c r="AK33" i="13"/>
  <c r="AI33" i="13"/>
  <c r="AG33" i="13"/>
  <c r="AE33" i="13"/>
  <c r="AC33" i="13"/>
  <c r="I38" i="10"/>
  <c r="AE38" i="10"/>
  <c r="AA38" i="10"/>
  <c r="M38" i="10"/>
  <c r="AC38" i="10"/>
  <c r="AS38" i="10"/>
  <c r="E37" i="4"/>
  <c r="W38" i="10"/>
  <c r="C38" i="10"/>
  <c r="E38" i="10"/>
  <c r="Q38" i="10"/>
  <c r="W33" i="2"/>
  <c r="S38" i="10"/>
  <c r="O38" i="10"/>
  <c r="G38" i="10"/>
  <c r="AU38" i="10"/>
  <c r="U37" i="4"/>
  <c r="U38" i="10"/>
  <c r="AW38" i="10"/>
  <c r="AW10" i="2"/>
  <c r="BE10" i="2" s="1"/>
  <c r="BG10" i="2" s="1"/>
  <c r="BE28" i="2"/>
  <c r="BG28" i="2" s="1"/>
  <c r="BA33" i="2"/>
  <c r="BE15" i="2"/>
  <c r="BG15" i="2" s="1"/>
  <c r="BE9" i="2"/>
  <c r="BG9" i="2" s="1"/>
  <c r="K38" i="10"/>
  <c r="I18" i="22"/>
  <c r="BK33" i="4"/>
  <c r="O37" i="4"/>
  <c r="S37" i="4"/>
  <c r="C21" i="24"/>
  <c r="K18" i="22"/>
  <c r="C18" i="22"/>
  <c r="G18" i="22"/>
  <c r="S18" i="22"/>
  <c r="Q18" i="22"/>
  <c r="K24" i="21"/>
  <c r="AC20" i="18"/>
  <c r="AE20" i="18"/>
  <c r="AG23" i="15"/>
  <c r="AO23" i="15"/>
  <c r="CE19" i="15"/>
  <c r="G37" i="4"/>
  <c r="AY33" i="2"/>
  <c r="E24" i="20"/>
  <c r="I24" i="21"/>
  <c r="AC23" i="15"/>
  <c r="C37" i="4"/>
  <c r="E33" i="13"/>
  <c r="AG33" i="2"/>
  <c r="C22" i="9"/>
  <c r="AE23" i="15"/>
  <c r="BE21" i="2"/>
  <c r="BG21" i="2" s="1"/>
  <c r="M24" i="20"/>
  <c r="Q24" i="21"/>
  <c r="K37" i="4"/>
  <c r="AQ22" i="9"/>
  <c r="S33" i="13"/>
  <c r="S24" i="20"/>
  <c r="K24" i="20"/>
  <c r="I29" i="14"/>
  <c r="AM23" i="15"/>
  <c r="K29" i="14"/>
  <c r="G24" i="20"/>
  <c r="AK23" i="15"/>
  <c r="O24" i="21"/>
  <c r="U24" i="20"/>
  <c r="O24" i="20"/>
  <c r="AS23" i="15"/>
  <c r="M29" i="14"/>
  <c r="AQ23" i="15"/>
  <c r="G33" i="13"/>
  <c r="AI33" i="2"/>
  <c r="Q37" i="4"/>
  <c r="AY22" i="9"/>
  <c r="AA33" i="13"/>
  <c r="AG20" i="18"/>
  <c r="BA22" i="9"/>
  <c r="AK29" i="14"/>
  <c r="U24" i="21"/>
  <c r="G24" i="21"/>
  <c r="AA20" i="18"/>
  <c r="W33" i="13"/>
  <c r="G22" i="9"/>
  <c r="Y33" i="13"/>
  <c r="C24" i="20"/>
  <c r="AM29" i="14"/>
  <c r="AI29" i="14"/>
  <c r="E29" i="14"/>
  <c r="AI23" i="15"/>
  <c r="AI20" i="18"/>
  <c r="BM20" i="20"/>
  <c r="W24" i="20"/>
  <c r="E24" i="21"/>
  <c r="AO29" i="14"/>
  <c r="I33" i="13"/>
  <c r="C33" i="13"/>
  <c r="AE33" i="2"/>
  <c r="AQ29" i="14"/>
  <c r="AS29" i="14"/>
  <c r="AM22" i="9"/>
  <c r="G29" i="14"/>
  <c r="AQ33" i="2" l="1"/>
  <c r="AC37" i="2"/>
  <c r="S37" i="2"/>
  <c r="AO37" i="2"/>
  <c r="AM37" i="2"/>
  <c r="U37" i="2"/>
  <c r="Y33" i="2"/>
  <c r="I33" i="2"/>
  <c r="I37" i="2" s="1"/>
  <c r="AW33" i="2"/>
  <c r="AS33" i="2"/>
  <c r="AQ37" i="2"/>
  <c r="E33" i="2"/>
  <c r="E37" i="2" s="1"/>
  <c r="G33" i="2"/>
  <c r="BE33" i="2"/>
  <c r="O33" i="2"/>
  <c r="M33" i="2"/>
  <c r="AG37" i="2"/>
  <c r="K33" i="2"/>
  <c r="W37" i="2"/>
  <c r="AE37" i="2"/>
  <c r="Q33" i="2"/>
  <c r="AI37" i="2"/>
  <c r="BG33" i="2" l="1"/>
  <c r="Y37" i="2"/>
  <c r="AS37" i="2"/>
  <c r="G37" i="2"/>
  <c r="O37" i="2"/>
  <c r="M37" i="2"/>
  <c r="Q37" i="2"/>
  <c r="K37" i="2"/>
  <c r="C16" i="18"/>
  <c r="C20" i="18" l="1"/>
  <c r="C33" i="2"/>
  <c r="C37" i="2" l="1"/>
</calcChain>
</file>

<file path=xl/sharedStrings.xml><?xml version="1.0" encoding="utf-8"?>
<sst xmlns="http://schemas.openxmlformats.org/spreadsheetml/2006/main" count="1503" uniqueCount="471">
  <si>
    <t>Municipality</t>
  </si>
  <si>
    <t>Absecon</t>
  </si>
  <si>
    <t>Atlantic City</t>
  </si>
  <si>
    <t>Brigantine</t>
  </si>
  <si>
    <t>Buena Borough</t>
  </si>
  <si>
    <t>Buena Vista</t>
  </si>
  <si>
    <t>Corbin City</t>
  </si>
  <si>
    <t>Egg Harbor City</t>
  </si>
  <si>
    <t>Egg Harbor Twp.</t>
  </si>
  <si>
    <t>Estell Manor</t>
  </si>
  <si>
    <t>Folsom</t>
  </si>
  <si>
    <t>Galloway Twp.</t>
  </si>
  <si>
    <t>Hamilton Twp.</t>
  </si>
  <si>
    <t>Hammonton</t>
  </si>
  <si>
    <t>Linwood</t>
  </si>
  <si>
    <t>Longport</t>
  </si>
  <si>
    <t>Margate</t>
  </si>
  <si>
    <t>Mullica</t>
  </si>
  <si>
    <t>Northfield</t>
  </si>
  <si>
    <t>Pleasantville</t>
  </si>
  <si>
    <t>Port Republic</t>
  </si>
  <si>
    <t>Somers Point</t>
  </si>
  <si>
    <t>Ventnor</t>
  </si>
  <si>
    <t>Weymouth</t>
  </si>
  <si>
    <t>Total</t>
  </si>
  <si>
    <t>Provisionals</t>
  </si>
  <si>
    <t>Grand Total</t>
  </si>
  <si>
    <t>1-1</t>
  </si>
  <si>
    <t>1-2</t>
  </si>
  <si>
    <t>1-3</t>
  </si>
  <si>
    <t>2-1</t>
  </si>
  <si>
    <t>2-2</t>
  </si>
  <si>
    <t>2-3</t>
  </si>
  <si>
    <t>1-4</t>
  </si>
  <si>
    <t>2-4</t>
  </si>
  <si>
    <t>3-1</t>
  </si>
  <si>
    <t>3-2</t>
  </si>
  <si>
    <t>3-3</t>
  </si>
  <si>
    <t>3-4</t>
  </si>
  <si>
    <t>4-1</t>
  </si>
  <si>
    <t>4-2</t>
  </si>
  <si>
    <t>4-3</t>
  </si>
  <si>
    <t>4-4</t>
  </si>
  <si>
    <t>5-1</t>
  </si>
  <si>
    <t>5-2</t>
  </si>
  <si>
    <t>6-1</t>
  </si>
  <si>
    <t>6-2</t>
  </si>
  <si>
    <t>6-3</t>
  </si>
  <si>
    <t>6-4</t>
  </si>
  <si>
    <t>W-1</t>
  </si>
  <si>
    <t>W-2</t>
  </si>
  <si>
    <t>W-3</t>
  </si>
  <si>
    <t>W-4</t>
  </si>
  <si>
    <t>D-1</t>
  </si>
  <si>
    <t>D-2</t>
  </si>
  <si>
    <t>D-3</t>
  </si>
  <si>
    <t>D-4</t>
  </si>
  <si>
    <t>D-5</t>
  </si>
  <si>
    <t>D-6</t>
  </si>
  <si>
    <t>CC</t>
  </si>
  <si>
    <t>D-7</t>
  </si>
  <si>
    <t>D-8</t>
  </si>
  <si>
    <t>D-9</t>
  </si>
  <si>
    <t>D-10</t>
  </si>
  <si>
    <t>D-11</t>
  </si>
  <si>
    <t>D-12</t>
  </si>
  <si>
    <t>D-13</t>
  </si>
  <si>
    <t>D-14</t>
  </si>
  <si>
    <t>D-15</t>
  </si>
  <si>
    <t>D-16</t>
  </si>
  <si>
    <t>ESTL</t>
  </si>
  <si>
    <t>FOLS</t>
  </si>
  <si>
    <t>D-17</t>
  </si>
  <si>
    <t>Vote by Mail</t>
  </si>
  <si>
    <t>D-18</t>
  </si>
  <si>
    <t>D-19</t>
  </si>
  <si>
    <t>D-20</t>
  </si>
  <si>
    <t>D-21</t>
  </si>
  <si>
    <t>D-22</t>
  </si>
  <si>
    <t>Hand Count</t>
  </si>
  <si>
    <t>Freeholder-at-Large</t>
  </si>
  <si>
    <t xml:space="preserve">Total </t>
  </si>
  <si>
    <t xml:space="preserve">Registered </t>
  </si>
  <si>
    <t>Machine</t>
  </si>
  <si>
    <t>Vote By</t>
  </si>
  <si>
    <t>Provisional</t>
  </si>
  <si>
    <t>Emergency</t>
  </si>
  <si>
    <t>Public</t>
  </si>
  <si>
    <t>Voters</t>
  </si>
  <si>
    <t>Count</t>
  </si>
  <si>
    <t>Mail</t>
  </si>
  <si>
    <t>Ward</t>
  </si>
  <si>
    <t>District</t>
  </si>
  <si>
    <t>Republican</t>
  </si>
  <si>
    <t>Green Party</t>
  </si>
  <si>
    <t>Libertarian Party</t>
  </si>
  <si>
    <t>Seth</t>
  </si>
  <si>
    <t>Jeff</t>
  </si>
  <si>
    <t>Anthony</t>
  </si>
  <si>
    <t>Democratic</t>
  </si>
  <si>
    <t xml:space="preserve">Cannot Be </t>
  </si>
  <si>
    <t>Bought</t>
  </si>
  <si>
    <t>Brian</t>
  </si>
  <si>
    <t>Mayor</t>
  </si>
  <si>
    <t>Council-at-Large</t>
  </si>
  <si>
    <t>Thomas</t>
  </si>
  <si>
    <t>Yes</t>
  </si>
  <si>
    <t>No</t>
  </si>
  <si>
    <t xml:space="preserve"> </t>
  </si>
  <si>
    <t>Stephen</t>
  </si>
  <si>
    <t>Township Committee</t>
  </si>
  <si>
    <t>Amy</t>
  </si>
  <si>
    <t>Andrew</t>
  </si>
  <si>
    <t>Barbara</t>
  </si>
  <si>
    <t>Members of the Local Board of Education</t>
  </si>
  <si>
    <t>Members of the Local</t>
  </si>
  <si>
    <t>Board of Education</t>
  </si>
  <si>
    <t>Council</t>
  </si>
  <si>
    <t>Nomination</t>
  </si>
  <si>
    <t>Made</t>
  </si>
  <si>
    <t>Greg</t>
  </si>
  <si>
    <t>Michael</t>
  </si>
  <si>
    <t>Member of the</t>
  </si>
  <si>
    <t>Frank</t>
  </si>
  <si>
    <t>Robert</t>
  </si>
  <si>
    <t>James</t>
  </si>
  <si>
    <t>of Education</t>
  </si>
  <si>
    <t>John</t>
  </si>
  <si>
    <t>Margaret</t>
  </si>
  <si>
    <t>Eric</t>
  </si>
  <si>
    <t>Kevin</t>
  </si>
  <si>
    <t>Christopher</t>
  </si>
  <si>
    <t>Stephanie</t>
  </si>
  <si>
    <t>Gregory</t>
  </si>
  <si>
    <t>Council Ward 1</t>
  </si>
  <si>
    <t>Council Ward 2</t>
  </si>
  <si>
    <t>Sharnell S.</t>
  </si>
  <si>
    <t>2 Year Unexpired Term</t>
  </si>
  <si>
    <t>Richard</t>
  </si>
  <si>
    <t>Erica</t>
  </si>
  <si>
    <t>First</t>
  </si>
  <si>
    <t>Common Council</t>
  </si>
  <si>
    <t>Members of the</t>
  </si>
  <si>
    <t>Leanna</t>
  </si>
  <si>
    <t>Member of the Local</t>
  </si>
  <si>
    <t>Bob</t>
  </si>
  <si>
    <t>HUGIN</t>
  </si>
  <si>
    <t>MENENDEZ</t>
  </si>
  <si>
    <t>Natalie Lynn</t>
  </si>
  <si>
    <t>RIVERA</t>
  </si>
  <si>
    <t>Hank</t>
  </si>
  <si>
    <t>SCHROEDER</t>
  </si>
  <si>
    <t>Murray</t>
  </si>
  <si>
    <t>SABRIN</t>
  </si>
  <si>
    <t>Madelyn R.</t>
  </si>
  <si>
    <t>HOFFMAN</t>
  </si>
  <si>
    <t>Tricia</t>
  </si>
  <si>
    <t>FLANAGAN</t>
  </si>
  <si>
    <t>KIMPLE</t>
  </si>
  <si>
    <t>For The People</t>
  </si>
  <si>
    <t>Economic Growth</t>
  </si>
  <si>
    <t>New Day NJ</t>
  </si>
  <si>
    <t>Make It Simple</t>
  </si>
  <si>
    <t>U.S. Senator</t>
  </si>
  <si>
    <t>GROSSMAN</t>
  </si>
  <si>
    <t>VAN DREW</t>
  </si>
  <si>
    <t>Steven</t>
  </si>
  <si>
    <t>FENICHEL</t>
  </si>
  <si>
    <t>William R.</t>
  </si>
  <si>
    <t>BENFER</t>
  </si>
  <si>
    <t>ORDILLE</t>
  </si>
  <si>
    <t>Time For Truth</t>
  </si>
  <si>
    <t>Hope In Unity</t>
  </si>
  <si>
    <t>Frank D.</t>
  </si>
  <si>
    <t>FORMICA</t>
  </si>
  <si>
    <t>Celeste</t>
  </si>
  <si>
    <t>FERNANDEZ</t>
  </si>
  <si>
    <t>House of Representatives</t>
  </si>
  <si>
    <t>Maureen</t>
  </si>
  <si>
    <t>KERN</t>
  </si>
  <si>
    <t>LEIDY</t>
  </si>
  <si>
    <t>Freeholder District 2</t>
  </si>
  <si>
    <t>BERTINO</t>
  </si>
  <si>
    <t>BUTTERHOF</t>
  </si>
  <si>
    <t>RHEAULT</t>
  </si>
  <si>
    <t>Freeholder District 5</t>
  </si>
  <si>
    <t>SANCHEZ</t>
  </si>
  <si>
    <t xml:space="preserve">PARISI </t>
  </si>
  <si>
    <t>PHILLIPS</t>
  </si>
  <si>
    <t>PRESTON</t>
  </si>
  <si>
    <t>Keith</t>
  </si>
  <si>
    <t>GRODZIAK</t>
  </si>
  <si>
    <t>Sandra</t>
  </si>
  <si>
    <t>CAIN</t>
  </si>
  <si>
    <t>COTTRELL</t>
  </si>
  <si>
    <t xml:space="preserve">No </t>
  </si>
  <si>
    <t>State Question</t>
  </si>
  <si>
    <t>Ruth</t>
  </si>
  <si>
    <t>BYARD</t>
  </si>
  <si>
    <t>John F.</t>
  </si>
  <si>
    <t>GERAGHTY</t>
  </si>
  <si>
    <t>4All God’s</t>
  </si>
  <si>
    <t xml:space="preserve"> Children</t>
  </si>
  <si>
    <t>FORKIN</t>
  </si>
  <si>
    <t>MD Farook</t>
  </si>
  <si>
    <t>HOSSAIN</t>
  </si>
  <si>
    <t>Automne</t>
  </si>
  <si>
    <t>BENNETT</t>
  </si>
  <si>
    <t>Shay</t>
  </si>
  <si>
    <t>STEELE</t>
  </si>
  <si>
    <t>Andy</t>
  </si>
  <si>
    <t>SIMPSON</t>
  </si>
  <si>
    <t>Richard F.</t>
  </si>
  <si>
    <t>DELUCRY</t>
  </si>
  <si>
    <t>Vince</t>
  </si>
  <si>
    <t>SERA</t>
  </si>
  <si>
    <t>Mike</t>
  </si>
  <si>
    <t>RIORDAN</t>
  </si>
  <si>
    <t>Denise</t>
  </si>
  <si>
    <t>HAKANSON</t>
  </si>
  <si>
    <t>Gerald F.</t>
  </si>
  <si>
    <t>SZUCS</t>
  </si>
  <si>
    <t>Demcoratic</t>
  </si>
  <si>
    <t>Rosalie M.</t>
  </si>
  <si>
    <t>BAKER</t>
  </si>
  <si>
    <t>Joseph S.</t>
  </si>
  <si>
    <t>MANCUSO, Jr.</t>
  </si>
  <si>
    <t>Chuck</t>
  </si>
  <si>
    <t>CHIARELLO</t>
  </si>
  <si>
    <t>Teresa</t>
  </si>
  <si>
    <t>KELLY</t>
  </si>
  <si>
    <t>Sarah J.</t>
  </si>
  <si>
    <t>MACK</t>
  </si>
  <si>
    <t>Sabrina</t>
  </si>
  <si>
    <t>FUTTY</t>
  </si>
  <si>
    <t>Joseph A.</t>
  </si>
  <si>
    <t>PERELLA, Jr.</t>
  </si>
  <si>
    <t>Buena Regional Board of Education</t>
  </si>
  <si>
    <t>William B.</t>
  </si>
  <si>
    <t>SNEATHEN III</t>
  </si>
  <si>
    <t>FORD</t>
  </si>
  <si>
    <t>Carlo</t>
  </si>
  <si>
    <t>FAVRETTO, Jr.</t>
  </si>
  <si>
    <t xml:space="preserve">Putting </t>
  </si>
  <si>
    <t>Community First</t>
  </si>
  <si>
    <t>1 Year Unexpired Term</t>
  </si>
  <si>
    <t>Robert J.</t>
  </si>
  <si>
    <t>SCHULTE</t>
  </si>
  <si>
    <t>Jerold B.</t>
  </si>
  <si>
    <t>DOUGHERTY</t>
  </si>
  <si>
    <t>LaVerne</t>
  </si>
  <si>
    <t>KIRN</t>
  </si>
  <si>
    <t xml:space="preserve">Nomination </t>
  </si>
  <si>
    <t>Angelo</t>
  </si>
  <si>
    <t>LELLO</t>
  </si>
  <si>
    <t>Robin L.</t>
  </si>
  <si>
    <t>SEFTON</t>
  </si>
  <si>
    <t>Joseph Anthony</t>
  </si>
  <si>
    <t>RICCI, Jr.</t>
  </si>
  <si>
    <t>Reed</t>
  </si>
  <si>
    <t>CRAMER</t>
  </si>
  <si>
    <t>Edward D.</t>
  </si>
  <si>
    <t>DENNIS</t>
  </si>
  <si>
    <t>Mason W.</t>
  </si>
  <si>
    <t>WRIGHT, Jr.</t>
  </si>
  <si>
    <t>SARTORIO</t>
  </si>
  <si>
    <t xml:space="preserve">Greater Egg </t>
  </si>
  <si>
    <t>Harbor</t>
  </si>
  <si>
    <t>Regional Board</t>
  </si>
  <si>
    <t>Stephen V.</t>
  </si>
  <si>
    <t>BOUCHARD</t>
  </si>
  <si>
    <t>Mary Ann</t>
  </si>
  <si>
    <t>ROGERS</t>
  </si>
  <si>
    <t>Frank X.</t>
  </si>
  <si>
    <t>BALLES</t>
  </si>
  <si>
    <t>Andrew W.</t>
  </si>
  <si>
    <t>PARKER 3rd</t>
  </si>
  <si>
    <t>Crystal S.</t>
  </si>
  <si>
    <t>MAYS</t>
  </si>
  <si>
    <t>Nadine M.V.</t>
  </si>
  <si>
    <t>FLYNN</t>
  </si>
  <si>
    <t>WEATHERBY</t>
  </si>
  <si>
    <t>Walter J.</t>
  </si>
  <si>
    <t>WILKINS</t>
  </si>
  <si>
    <t>John (Jack)</t>
  </si>
  <si>
    <t>HAINES</t>
  </si>
  <si>
    <t>Terre</t>
  </si>
  <si>
    <t>ALABARDA</t>
  </si>
  <si>
    <t>SZILAGYI</t>
  </si>
  <si>
    <t>Pete</t>
  </si>
  <si>
    <t>CASTELLANO</t>
  </si>
  <si>
    <t>MADSEN</t>
  </si>
  <si>
    <t>Kristy</t>
  </si>
  <si>
    <t>BIRD</t>
  </si>
  <si>
    <t>Alisha</t>
  </si>
  <si>
    <t>VELEZ</t>
  </si>
  <si>
    <t>Juanita</t>
  </si>
  <si>
    <t>HYMAN</t>
  </si>
  <si>
    <t>NAPOLI</t>
  </si>
  <si>
    <t>PRICE</t>
  </si>
  <si>
    <t>Yolanda A.</t>
  </si>
  <si>
    <t>COOPER</t>
  </si>
  <si>
    <t>Aaron</t>
  </si>
  <si>
    <t>BUCHANAN</t>
  </si>
  <si>
    <t>Katherine</t>
  </si>
  <si>
    <t>MIMLER</t>
  </si>
  <si>
    <t>Sarah</t>
  </si>
  <si>
    <t>FERRARI</t>
  </si>
  <si>
    <t>CONWAY</t>
  </si>
  <si>
    <t>SCHENKER</t>
  </si>
  <si>
    <t>Daria R.</t>
  </si>
  <si>
    <t>Tiffani</t>
  </si>
  <si>
    <t>DYCH</t>
  </si>
  <si>
    <t>John J.</t>
  </si>
  <si>
    <t>THOMAS</t>
  </si>
  <si>
    <r>
      <t>D</t>
    </r>
    <r>
      <rPr>
        <sz val="8"/>
        <rFont val="Arial"/>
        <family val="2"/>
      </rPr>
      <t>E</t>
    </r>
    <r>
      <rPr>
        <sz val="10"/>
        <rFont val="Arial"/>
        <family val="2"/>
      </rPr>
      <t>STEFANO</t>
    </r>
  </si>
  <si>
    <t>Lois A.</t>
  </si>
  <si>
    <t>GARRISON</t>
  </si>
  <si>
    <t>DASE</t>
  </si>
  <si>
    <t>Madeline</t>
  </si>
  <si>
    <t>AVERY</t>
  </si>
  <si>
    <t>Arthur</t>
  </si>
  <si>
    <t>LAWS</t>
  </si>
  <si>
    <t>Rodney</t>
  </si>
  <si>
    <t>GUISHARD</t>
  </si>
  <si>
    <t>Kari</t>
  </si>
  <si>
    <t>SPODOFORA</t>
  </si>
  <si>
    <t>Republian</t>
  </si>
  <si>
    <t>Kristina</t>
  </si>
  <si>
    <t>CARR</t>
  </si>
  <si>
    <t>ERICKSON</t>
  </si>
  <si>
    <t>Student Voice</t>
  </si>
  <si>
    <t xml:space="preserve"> Community</t>
  </si>
  <si>
    <t>AIKEN</t>
  </si>
  <si>
    <t>Warren Gerald</t>
  </si>
  <si>
    <t>NELSON</t>
  </si>
  <si>
    <t>HASSA</t>
  </si>
  <si>
    <t>Incumbent, Wellness,</t>
  </si>
  <si>
    <t xml:space="preserve"> Leadership</t>
  </si>
  <si>
    <t>ALIANELL</t>
  </si>
  <si>
    <t>James A.</t>
  </si>
  <si>
    <t>HIGBEE</t>
  </si>
  <si>
    <t>Member of the Local Board of Education</t>
  </si>
  <si>
    <t>FURGIONE</t>
  </si>
  <si>
    <t>Michael E.</t>
  </si>
  <si>
    <t>TORRISSI, Jr.</t>
  </si>
  <si>
    <t>Rock</t>
  </si>
  <si>
    <t>COLASURDO</t>
  </si>
  <si>
    <t>Sam</t>
  </si>
  <si>
    <t>RODIO</t>
  </si>
  <si>
    <t>Jonathan</t>
  </si>
  <si>
    <t>OLIVA</t>
  </si>
  <si>
    <t>Dane</t>
  </si>
  <si>
    <t>WUILLERMIN</t>
  </si>
  <si>
    <t xml:space="preserve">Hammonton </t>
  </si>
  <si>
    <t>Otto</t>
  </si>
  <si>
    <t>HERNANDEZ</t>
  </si>
  <si>
    <t>ATTANASI</t>
  </si>
  <si>
    <t>POLITO</t>
  </si>
  <si>
    <t>Benjamin</t>
  </si>
  <si>
    <t>OTT</t>
  </si>
  <si>
    <t>Anthony M.</t>
  </si>
  <si>
    <t>ANGELOW</t>
  </si>
  <si>
    <t>PULLIA</t>
  </si>
  <si>
    <t>September</t>
  </si>
  <si>
    <t>CORGLIANO</t>
  </si>
  <si>
    <t>June</t>
  </si>
  <si>
    <t>BYRNES</t>
  </si>
  <si>
    <t>Todd</t>
  </si>
  <si>
    <t>GORDON</t>
  </si>
  <si>
    <t>FRIEDMAN</t>
  </si>
  <si>
    <t>Jill</t>
  </si>
  <si>
    <t>OJSERKIS</t>
  </si>
  <si>
    <t>Member of</t>
  </si>
  <si>
    <t xml:space="preserve">Regional </t>
  </si>
  <si>
    <t xml:space="preserve">Board of </t>
  </si>
  <si>
    <t>Education</t>
  </si>
  <si>
    <t>EVINSKI</t>
  </si>
  <si>
    <t>Donna</t>
  </si>
  <si>
    <t>MICHAEL</t>
  </si>
  <si>
    <t>ZIEREIS</t>
  </si>
  <si>
    <t>Michelle</t>
  </si>
  <si>
    <t>DEMORAT</t>
  </si>
  <si>
    <t>Brent</t>
  </si>
  <si>
    <t>KOLMER</t>
  </si>
  <si>
    <t>the Mainland</t>
  </si>
  <si>
    <t>SCHIAVO</t>
  </si>
  <si>
    <t>the Local</t>
  </si>
  <si>
    <t>William W.</t>
  </si>
  <si>
    <t>CORNELL, Jr.</t>
  </si>
  <si>
    <t>Kristi</t>
  </si>
  <si>
    <t>HANSELMANN</t>
  </si>
  <si>
    <t>MULLEN</t>
  </si>
  <si>
    <t>Joseph</t>
  </si>
  <si>
    <t>WEST</t>
  </si>
  <si>
    <t>Carmen</t>
  </si>
  <si>
    <t>JACOBO</t>
  </si>
  <si>
    <t>Joy</t>
  </si>
  <si>
    <t>WYLD</t>
  </si>
  <si>
    <t>Catherine L.</t>
  </si>
  <si>
    <t>WERNER</t>
  </si>
  <si>
    <t>Linda</t>
  </si>
  <si>
    <t>QUATTRONE</t>
  </si>
  <si>
    <t>MADDEN</t>
  </si>
  <si>
    <t>Brian L.</t>
  </si>
  <si>
    <t>SMITH</t>
  </si>
  <si>
    <t>Rick</t>
  </si>
  <si>
    <t>BROZOSKY</t>
  </si>
  <si>
    <t>Deborah</t>
  </si>
  <si>
    <t>LEVITT</t>
  </si>
  <si>
    <t>Kerrie</t>
  </si>
  <si>
    <t>MARRONE</t>
  </si>
  <si>
    <t>Angelic</t>
  </si>
  <si>
    <t>DELCHER</t>
  </si>
  <si>
    <t xml:space="preserve">Members of the Local </t>
  </si>
  <si>
    <t>Lawrence “Tony”</t>
  </si>
  <si>
    <t>DAVENPORT</t>
  </si>
  <si>
    <t>Lockland</t>
  </si>
  <si>
    <t>SCOTT</t>
  </si>
  <si>
    <t>NORRIS</t>
  </si>
  <si>
    <t>Cassandra</t>
  </si>
  <si>
    <t>CLEMENTS</t>
  </si>
  <si>
    <t>MORGAN</t>
  </si>
  <si>
    <t>EASON</t>
  </si>
  <si>
    <t>Hannah</t>
  </si>
  <si>
    <t>Jerome M.</t>
  </si>
  <si>
    <t>PAGE</t>
  </si>
  <si>
    <t>Robin</t>
  </si>
  <si>
    <t>WHITLOCK</t>
  </si>
  <si>
    <t xml:space="preserve">Master Board </t>
  </si>
  <si>
    <t>Member</t>
  </si>
  <si>
    <t>Municipal Question</t>
  </si>
  <si>
    <t>ALLGEYER</t>
  </si>
  <si>
    <t>KURTZ</t>
  </si>
  <si>
    <t>Kurtz 4 Council</t>
  </si>
  <si>
    <t>Doris A.</t>
  </si>
  <si>
    <t>BUGDON</t>
  </si>
  <si>
    <t>Ron</t>
  </si>
  <si>
    <t>MEISCHKER</t>
  </si>
  <si>
    <t>Howard W.</t>
  </si>
  <si>
    <t>DILL</t>
  </si>
  <si>
    <t>Charles L.</t>
  </si>
  <si>
    <t>BROOMALL, Jr.</t>
  </si>
  <si>
    <t>Mainland Regional</t>
  </si>
  <si>
    <t>Kenneth R.</t>
  </si>
  <si>
    <t>HAESER</t>
  </si>
  <si>
    <t>Constance A.</t>
  </si>
  <si>
    <t>“Connie”</t>
  </si>
  <si>
    <t>REYMANN</t>
  </si>
  <si>
    <t>Karin</t>
  </si>
  <si>
    <t>MANDRADJIEFF</t>
  </si>
  <si>
    <t>Megan</t>
  </si>
  <si>
    <t>MARCZYK</t>
  </si>
  <si>
    <t>EMORY</t>
  </si>
  <si>
    <t>Alexa</t>
  </si>
  <si>
    <t>BESHARA</t>
  </si>
  <si>
    <t>BLAUTH</t>
  </si>
  <si>
    <t>MOSCONY</t>
  </si>
  <si>
    <t>Jamie P.</t>
  </si>
  <si>
    <t>LAUT</t>
  </si>
  <si>
    <t>Heather S.</t>
  </si>
  <si>
    <t>Courtney A.</t>
  </si>
  <si>
    <t>Sarah L.</t>
  </si>
  <si>
    <t>SAMUELSON</t>
  </si>
  <si>
    <t>PLATT</t>
  </si>
  <si>
    <t>Jenna</t>
  </si>
  <si>
    <t>DECICCO</t>
  </si>
  <si>
    <t>Nicholas</t>
  </si>
  <si>
    <t>WAGNER</t>
  </si>
  <si>
    <t>Deborah S.</t>
  </si>
  <si>
    <t>SHURIG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</si>
</sst>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_);\(0\)"/>
    <numFmt numFmtId="167" formatCode="#,##0.0000_);\(#,##0.0000\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rgb="FF000000"/>
      <name val="Times New Roman"/>
      <family val="1"/>
    </font>
    <font>
      <sz val="11"/>
      <color theme="1"/>
      <name val="Calibri"/>
      <family val="2"/>
    </font>
    <font>
      <sz val="11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/>
    <xf numFmtId="0" fontId="1" fillId="0" borderId="0"/>
    <xf numFmtId="0" fontId="1" fillId="0" borderId="0"/>
  </cellStyleXfs>
  <cellXfs count="475">
    <xf numFmtId="0" fontId="0" fillId="0" borderId="0" xfId="0"/>
    <xf numFmtId="43" fontId="0" fillId="0" borderId="0" xfId="0" applyNumberFormat="1"/>
    <xf numFmtId="0" fontId="0" fillId="0" borderId="0" xfId="0" applyAlignment="1">
      <alignment horizontal="left"/>
    </xf>
    <xf numFmtId="3" fontId="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37" fontId="0" fillId="0" borderId="0" xfId="0" applyNumberFormat="1" applyAlignment="1">
      <alignment horizontal="left"/>
    </xf>
    <xf numFmtId="43" fontId="4" fillId="0" borderId="0" xfId="0" applyNumberFormat="1" applyFont="1"/>
    <xf numFmtId="49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center"/>
    </xf>
    <xf numFmtId="43" fontId="4" fillId="0" borderId="0" xfId="0" applyNumberFormat="1" applyFont="1" applyBorder="1"/>
    <xf numFmtId="43" fontId="0" fillId="0" borderId="0" xfId="0" applyNumberFormat="1" applyBorder="1"/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 wrapText="1"/>
    </xf>
    <xf numFmtId="43" fontId="0" fillId="0" borderId="0" xfId="0" applyNumberFormat="1" applyBorder="1" applyAlignment="1">
      <alignment horizontal="center" wrapText="1"/>
    </xf>
    <xf numFmtId="1" fontId="0" fillId="0" borderId="0" xfId="0" applyNumberFormat="1" applyBorder="1" applyAlignment="1">
      <alignment horizontal="center" wrapText="1"/>
    </xf>
    <xf numFmtId="37" fontId="4" fillId="0" borderId="0" xfId="0" applyNumberFormat="1" applyFont="1" applyBorder="1" applyAlignment="1">
      <alignment horizontal="center"/>
    </xf>
    <xf numFmtId="37" fontId="0" fillId="0" borderId="3" xfId="0" applyNumberFormat="1" applyBorder="1" applyAlignment="1">
      <alignment horizontal="center"/>
    </xf>
    <xf numFmtId="37" fontId="0" fillId="0" borderId="0" xfId="0" applyNumberFormat="1" applyAlignment="1">
      <alignment horizontal="center"/>
    </xf>
    <xf numFmtId="37" fontId="0" fillId="0" borderId="0" xfId="0" applyNumberFormat="1" applyBorder="1" applyAlignment="1">
      <alignment horizontal="center"/>
    </xf>
    <xf numFmtId="37" fontId="0" fillId="0" borderId="1" xfId="0" applyNumberFormat="1" applyBorder="1" applyAlignment="1">
      <alignment horizontal="center"/>
    </xf>
    <xf numFmtId="37" fontId="4" fillId="0" borderId="0" xfId="0" applyNumberFormat="1" applyFont="1" applyAlignment="1">
      <alignment horizontal="center"/>
    </xf>
    <xf numFmtId="37" fontId="4" fillId="0" borderId="2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left"/>
    </xf>
    <xf numFmtId="3" fontId="5" fillId="0" borderId="1" xfId="0" applyNumberFormat="1" applyFont="1" applyBorder="1" applyAlignment="1">
      <alignment horizontal="center"/>
    </xf>
    <xf numFmtId="43" fontId="0" fillId="0" borderId="0" xfId="0" applyNumberFormat="1" applyBorder="1" applyAlignment="1"/>
    <xf numFmtId="37" fontId="0" fillId="0" borderId="0" xfId="0" applyNumberForma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3" fontId="5" fillId="0" borderId="0" xfId="0" applyNumberFormat="1" applyFont="1" applyBorder="1"/>
    <xf numFmtId="37" fontId="0" fillId="0" borderId="4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0" fillId="0" borderId="0" xfId="0" applyNumberFormat="1" applyBorder="1" applyAlignment="1"/>
    <xf numFmtId="3" fontId="0" fillId="0" borderId="0" xfId="0" applyNumberFormat="1" applyBorder="1"/>
    <xf numFmtId="3" fontId="4" fillId="0" borderId="2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/>
    <xf numFmtId="3" fontId="4" fillId="0" borderId="0" xfId="0" applyNumberFormat="1" applyFont="1" applyBorder="1"/>
    <xf numFmtId="37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/>
    <xf numFmtId="3" fontId="4" fillId="0" borderId="0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left"/>
      <protection locked="0"/>
    </xf>
    <xf numFmtId="0" fontId="0" fillId="0" borderId="0" xfId="0" applyNumberFormat="1" applyFill="1" applyBorder="1" applyAlignment="1">
      <alignment horizontal="center" vertical="center" wrapText="1"/>
    </xf>
    <xf numFmtId="0" fontId="4" fillId="0" borderId="0" xfId="0" applyNumberFormat="1" applyFont="1" applyBorder="1" applyAlignment="1"/>
    <xf numFmtId="3" fontId="0" fillId="0" borderId="3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10" fontId="0" fillId="0" borderId="0" xfId="0" applyNumberForma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" fontId="5" fillId="0" borderId="3" xfId="0" applyNumberFormat="1" applyFont="1" applyBorder="1" applyAlignment="1">
      <alignment horizontal="center"/>
    </xf>
    <xf numFmtId="43" fontId="5" fillId="0" borderId="0" xfId="0" applyNumberFormat="1" applyFont="1" applyBorder="1" applyAlignment="1"/>
    <xf numFmtId="1" fontId="5" fillId="0" borderId="0" xfId="0" applyNumberFormat="1" applyFont="1" applyBorder="1" applyAlignment="1" applyProtection="1">
      <alignment horizontal="center"/>
      <protection locked="0"/>
    </xf>
    <xf numFmtId="37" fontId="0" fillId="0" borderId="0" xfId="0" applyNumberFormat="1" applyAlignment="1">
      <alignment horizontal="right"/>
    </xf>
    <xf numFmtId="43" fontId="0" fillId="0" borderId="0" xfId="0" applyNumberForma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37" fontId="0" fillId="0" borderId="9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5" fillId="0" borderId="0" xfId="1" applyNumberFormat="1" applyFont="1" applyAlignment="1">
      <alignment horizontal="center"/>
    </xf>
    <xf numFmtId="3" fontId="4" fillId="0" borderId="0" xfId="1" applyNumberFormat="1" applyFont="1" applyBorder="1" applyAlignment="1">
      <alignment horizontal="center"/>
    </xf>
    <xf numFmtId="3" fontId="4" fillId="0" borderId="4" xfId="1" applyNumberFormat="1" applyFont="1" applyBorder="1" applyAlignment="1">
      <alignment horizontal="center"/>
    </xf>
    <xf numFmtId="3" fontId="5" fillId="0" borderId="8" xfId="1" applyNumberFormat="1" applyFont="1" applyBorder="1" applyAlignment="1">
      <alignment horizontal="center" vertical="center" wrapText="1"/>
    </xf>
    <xf numFmtId="3" fontId="5" fillId="0" borderId="12" xfId="1" applyNumberFormat="1" applyFont="1" applyBorder="1" applyAlignment="1">
      <alignment horizontal="center" vertical="center" wrapText="1"/>
    </xf>
    <xf numFmtId="3" fontId="5" fillId="0" borderId="14" xfId="1" applyNumberFormat="1" applyFont="1" applyBorder="1" applyAlignment="1">
      <alignment horizontal="center" vertical="top" wrapText="1"/>
    </xf>
    <xf numFmtId="3" fontId="5" fillId="0" borderId="4" xfId="1" applyNumberFormat="1" applyFont="1" applyBorder="1" applyAlignment="1">
      <alignment horizontal="center" vertical="center" wrapText="1"/>
    </xf>
    <xf numFmtId="3" fontId="5" fillId="0" borderId="13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3" fontId="5" fillId="0" borderId="10" xfId="1" applyNumberFormat="1" applyFont="1" applyBorder="1" applyAlignment="1">
      <alignment horizontal="center" vertical="center" wrapText="1"/>
    </xf>
    <xf numFmtId="3" fontId="5" fillId="0" borderId="5" xfId="1" applyNumberFormat="1" applyFont="1" applyBorder="1" applyAlignment="1">
      <alignment horizontal="center" vertical="top" wrapText="1"/>
    </xf>
    <xf numFmtId="3" fontId="5" fillId="0" borderId="15" xfId="1" applyNumberFormat="1" applyFont="1" applyBorder="1" applyAlignment="1">
      <alignment horizontal="center" vertical="top" wrapText="1"/>
    </xf>
    <xf numFmtId="3" fontId="5" fillId="0" borderId="0" xfId="1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3" fontId="5" fillId="0" borderId="8" xfId="0" applyNumberFormat="1" applyFont="1" applyBorder="1" applyAlignment="1">
      <alignment horizontal="center"/>
    </xf>
    <xf numFmtId="43" fontId="5" fillId="0" borderId="1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43" fontId="5" fillId="0" borderId="4" xfId="0" applyNumberFormat="1" applyFont="1" applyBorder="1" applyAlignment="1">
      <alignment horizontal="center"/>
    </xf>
    <xf numFmtId="43" fontId="5" fillId="0" borderId="12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43" fontId="5" fillId="0" borderId="0" xfId="0" applyNumberFormat="1" applyFont="1" applyBorder="1" applyAlignment="1">
      <alignment horizontal="center"/>
    </xf>
    <xf numFmtId="43" fontId="5" fillId="0" borderId="10" xfId="0" applyNumberFormat="1" applyFont="1" applyBorder="1" applyAlignment="1">
      <alignment horizontal="center"/>
    </xf>
    <xf numFmtId="43" fontId="5" fillId="0" borderId="14" xfId="0" applyNumberFormat="1" applyFont="1" applyBorder="1" applyAlignment="1">
      <alignment horizontal="center"/>
    </xf>
    <xf numFmtId="43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43" fontId="5" fillId="0" borderId="15" xfId="0" applyNumberFormat="1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43" fontId="5" fillId="0" borderId="0" xfId="0" applyNumberFormat="1" applyFont="1"/>
    <xf numFmtId="3" fontId="5" fillId="0" borderId="0" xfId="0" applyNumberFormat="1" applyFont="1" applyBorder="1"/>
    <xf numFmtId="3" fontId="5" fillId="0" borderId="0" xfId="0" applyNumberFormat="1" applyFont="1" applyBorder="1" applyAlignment="1"/>
    <xf numFmtId="1" fontId="5" fillId="0" borderId="6" xfId="0" applyNumberFormat="1" applyFont="1" applyBorder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10" fillId="0" borderId="10" xfId="9" applyFont="1" applyBorder="1" applyAlignment="1">
      <alignment horizontal="center"/>
    </xf>
    <xf numFmtId="0" fontId="10" fillId="0" borderId="8" xfId="9" applyFont="1" applyBorder="1" applyAlignment="1">
      <alignment horizontal="center"/>
    </xf>
    <xf numFmtId="0" fontId="10" fillId="0" borderId="0" xfId="9" applyFont="1" applyBorder="1" applyAlignment="1">
      <alignment horizontal="center"/>
    </xf>
    <xf numFmtId="0" fontId="10" fillId="0" borderId="10" xfId="9" applyFont="1" applyBorder="1" applyAlignment="1">
      <alignment horizontal="center" vertical="top"/>
    </xf>
    <xf numFmtId="43" fontId="6" fillId="0" borderId="0" xfId="0" applyNumberFormat="1" applyFont="1" applyAlignment="1">
      <alignment horizontal="center"/>
    </xf>
    <xf numFmtId="43" fontId="6" fillId="0" borderId="4" xfId="0" applyNumberFormat="1" applyFont="1" applyBorder="1" applyAlignment="1">
      <alignment horizontal="center"/>
    </xf>
    <xf numFmtId="43" fontId="6" fillId="0" borderId="12" xfId="0" applyNumberFormat="1" applyFont="1" applyBorder="1" applyAlignment="1">
      <alignment horizontal="center"/>
    </xf>
    <xf numFmtId="43" fontId="6" fillId="0" borderId="13" xfId="0" applyNumberFormat="1" applyFont="1" applyBorder="1" applyAlignment="1">
      <alignment horizontal="center"/>
    </xf>
    <xf numFmtId="3" fontId="7" fillId="0" borderId="12" xfId="1" applyNumberFormat="1" applyFont="1" applyBorder="1" applyAlignment="1">
      <alignment horizontal="center" vertical="center" wrapText="1"/>
    </xf>
    <xf numFmtId="3" fontId="6" fillId="0" borderId="4" xfId="1" applyNumberFormat="1" applyFont="1" applyBorder="1" applyAlignment="1">
      <alignment horizontal="center"/>
    </xf>
    <xf numFmtId="3" fontId="7" fillId="0" borderId="4" xfId="1" applyNumberFormat="1" applyFont="1" applyBorder="1" applyAlignment="1">
      <alignment horizontal="center" vertical="center" wrapText="1"/>
    </xf>
    <xf numFmtId="3" fontId="7" fillId="0" borderId="13" xfId="1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/>
    <xf numFmtId="164" fontId="6" fillId="0" borderId="0" xfId="0" applyNumberFormat="1" applyFont="1" applyAlignment="1">
      <alignment horizontal="center"/>
    </xf>
    <xf numFmtId="49" fontId="6" fillId="0" borderId="0" xfId="0" applyNumberFormat="1" applyFont="1" applyBorder="1" applyAlignment="1">
      <alignment horizontal="center"/>
    </xf>
    <xf numFmtId="3" fontId="7" fillId="0" borderId="8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horizontal="center"/>
    </xf>
    <xf numFmtId="3" fontId="7" fillId="0" borderId="0" xfId="1" applyNumberFormat="1" applyFont="1" applyBorder="1" applyAlignment="1">
      <alignment horizontal="center" vertical="center" wrapText="1"/>
    </xf>
    <xf numFmtId="3" fontId="7" fillId="0" borderId="10" xfId="1" applyNumberFormat="1" applyFont="1" applyBorder="1" applyAlignment="1">
      <alignment horizontal="center" vertical="center" wrapText="1"/>
    </xf>
    <xf numFmtId="43" fontId="7" fillId="0" borderId="0" xfId="0" applyNumberFormat="1" applyFont="1" applyAlignment="1">
      <alignment horizontal="center" vertical="top"/>
    </xf>
    <xf numFmtId="164" fontId="7" fillId="0" borderId="0" xfId="0" applyNumberFormat="1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top" wrapText="1"/>
    </xf>
    <xf numFmtId="164" fontId="7" fillId="0" borderId="15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 wrapText="1"/>
    </xf>
    <xf numFmtId="164" fontId="7" fillId="0" borderId="0" xfId="0" applyNumberFormat="1" applyFont="1" applyAlignment="1">
      <alignment horizontal="center" vertical="top" wrapText="1"/>
    </xf>
    <xf numFmtId="43" fontId="7" fillId="0" borderId="0" xfId="0" applyNumberFormat="1" applyFont="1" applyAlignment="1">
      <alignment horizontal="center" vertical="top" wrapText="1"/>
    </xf>
    <xf numFmtId="0" fontId="0" fillId="0" borderId="0" xfId="0" applyNumberFormat="1"/>
    <xf numFmtId="49" fontId="5" fillId="0" borderId="0" xfId="0" applyNumberFormat="1" applyFont="1" applyBorder="1" applyAlignment="1">
      <alignment horizontal="center"/>
    </xf>
    <xf numFmtId="43" fontId="0" fillId="0" borderId="0" xfId="0" applyNumberFormat="1" applyAlignment="1"/>
    <xf numFmtId="0" fontId="5" fillId="0" borderId="0" xfId="0" applyNumberFormat="1" applyFont="1" applyBorder="1" applyAlignment="1">
      <alignment horizontal="center"/>
    </xf>
    <xf numFmtId="43" fontId="4" fillId="0" borderId="0" xfId="0" applyNumberFormat="1" applyFont="1" applyBorder="1" applyAlignment="1"/>
    <xf numFmtId="43" fontId="6" fillId="0" borderId="0" xfId="0" applyNumberFormat="1" applyFont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3" fontId="4" fillId="0" borderId="0" xfId="0" applyNumberFormat="1" applyFont="1" applyBorder="1" applyAlignment="1" applyProtection="1">
      <alignment horizontal="center"/>
    </xf>
    <xf numFmtId="49" fontId="4" fillId="0" borderId="0" xfId="0" applyNumberFormat="1" applyFont="1" applyBorder="1" applyAlignment="1">
      <alignment horizontal="left"/>
    </xf>
    <xf numFmtId="0" fontId="5" fillId="0" borderId="0" xfId="9" applyFont="1" applyFill="1" applyBorder="1" applyAlignment="1" applyProtection="1">
      <alignment horizontal="center"/>
      <protection locked="0"/>
    </xf>
    <xf numFmtId="0" fontId="5" fillId="0" borderId="10" xfId="9" applyFont="1" applyFill="1" applyBorder="1" applyAlignment="1" applyProtection="1">
      <alignment horizontal="center"/>
      <protection locked="0"/>
    </xf>
    <xf numFmtId="0" fontId="5" fillId="0" borderId="0" xfId="9" applyFont="1" applyFill="1" applyBorder="1" applyAlignment="1" applyProtection="1">
      <alignment horizontal="center" wrapText="1"/>
      <protection locked="0"/>
    </xf>
    <xf numFmtId="3" fontId="5" fillId="0" borderId="0" xfId="0" applyNumberFormat="1" applyFont="1" applyBorder="1" applyAlignment="1">
      <alignment vertical="top" wrapText="1"/>
    </xf>
    <xf numFmtId="49" fontId="4" fillId="0" borderId="12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4" fillId="0" borderId="14" xfId="0" applyNumberFormat="1" applyFont="1" applyBorder="1" applyAlignment="1">
      <alignment horizontal="center"/>
    </xf>
    <xf numFmtId="0" fontId="4" fillId="0" borderId="15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43" fontId="6" fillId="0" borderId="12" xfId="0" applyNumberFormat="1" applyFont="1" applyBorder="1" applyAlignment="1">
      <alignment horizontal="center" vertical="top"/>
    </xf>
    <xf numFmtId="43" fontId="6" fillId="0" borderId="4" xfId="0" applyNumberFormat="1" applyFont="1" applyBorder="1" applyAlignment="1">
      <alignment horizontal="center" vertical="top"/>
    </xf>
    <xf numFmtId="43" fontId="6" fillId="0" borderId="13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0" fontId="5" fillId="0" borderId="12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15" xfId="0" applyNumberFormat="1" applyFont="1" applyBorder="1" applyAlignment="1">
      <alignment horizontal="center"/>
    </xf>
    <xf numFmtId="49" fontId="5" fillId="0" borderId="8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43" fontId="0" fillId="0" borderId="0" xfId="0" applyNumberFormat="1" applyFont="1"/>
    <xf numFmtId="43" fontId="0" fillId="0" borderId="4" xfId="0" applyNumberFormat="1" applyBorder="1" applyAlignment="1">
      <alignment horizontal="center"/>
    </xf>
    <xf numFmtId="43" fontId="0" fillId="0" borderId="10" xfId="0" applyNumberForma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43" fontId="0" fillId="0" borderId="8" xfId="0" applyNumberForma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43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43" fontId="0" fillId="0" borderId="13" xfId="0" applyNumberFormat="1" applyBorder="1" applyAlignment="1">
      <alignment horizontal="center"/>
    </xf>
    <xf numFmtId="43" fontId="0" fillId="0" borderId="14" xfId="0" applyNumberFormat="1" applyBorder="1" applyAlignment="1">
      <alignment horizontal="center"/>
    </xf>
    <xf numFmtId="43" fontId="0" fillId="0" borderId="5" xfId="0" applyNumberFormat="1" applyBorder="1" applyAlignment="1">
      <alignment horizontal="center"/>
    </xf>
    <xf numFmtId="43" fontId="0" fillId="0" borderId="15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16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43" fontId="5" fillId="0" borderId="0" xfId="0" applyNumberFormat="1" applyFont="1" applyAlignment="1">
      <alignment horizontal="center"/>
    </xf>
    <xf numFmtId="0" fontId="12" fillId="0" borderId="10" xfId="0" applyFont="1" applyBorder="1" applyAlignment="1">
      <alignment horizontal="center"/>
    </xf>
    <xf numFmtId="43" fontId="12" fillId="0" borderId="1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wrapText="1"/>
    </xf>
    <xf numFmtId="1" fontId="5" fillId="0" borderId="15" xfId="0" applyNumberFormat="1" applyFont="1" applyBorder="1" applyAlignment="1">
      <alignment horizontal="center"/>
    </xf>
    <xf numFmtId="0" fontId="5" fillId="0" borderId="0" xfId="0" applyFont="1"/>
    <xf numFmtId="49" fontId="5" fillId="0" borderId="0" xfId="0" applyNumberFormat="1" applyFont="1" applyBorder="1" applyAlignment="1" applyProtection="1">
      <alignment horizontal="center" vertical="top"/>
      <protection locked="0"/>
    </xf>
    <xf numFmtId="164" fontId="5" fillId="0" borderId="0" xfId="0" applyNumberFormat="1" applyFont="1" applyBorder="1" applyAlignment="1">
      <alignment horizontal="center" vertical="top"/>
    </xf>
    <xf numFmtId="1" fontId="5" fillId="0" borderId="0" xfId="0" applyNumberFormat="1" applyFont="1" applyBorder="1" applyAlignment="1" applyProtection="1">
      <alignment horizontal="center" vertical="top"/>
      <protection locked="0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Border="1"/>
    <xf numFmtId="43" fontId="5" fillId="0" borderId="4" xfId="0" applyNumberFormat="1" applyFont="1" applyBorder="1"/>
    <xf numFmtId="43" fontId="5" fillId="0" borderId="5" xfId="0" applyNumberFormat="1" applyFont="1" applyBorder="1"/>
    <xf numFmtId="1" fontId="4" fillId="0" borderId="0" xfId="0" applyNumberFormat="1" applyFont="1" applyAlignment="1">
      <alignment horizontal="center"/>
    </xf>
    <xf numFmtId="0" fontId="4" fillId="0" borderId="0" xfId="0" applyNumberFormat="1" applyFont="1"/>
    <xf numFmtId="164" fontId="4" fillId="0" borderId="0" xfId="0" applyNumberFormat="1" applyFont="1" applyAlignment="1">
      <alignment horizontal="center" vertical="top"/>
    </xf>
    <xf numFmtId="43" fontId="4" fillId="0" borderId="0" xfId="0" applyNumberFormat="1" applyFont="1" applyAlignment="1"/>
    <xf numFmtId="43" fontId="4" fillId="0" borderId="0" xfId="0" applyNumberFormat="1" applyFont="1" applyAlignment="1">
      <alignment horizontal="center"/>
    </xf>
    <xf numFmtId="0" fontId="4" fillId="0" borderId="0" xfId="0" applyNumberFormat="1" applyFont="1" applyBorder="1"/>
    <xf numFmtId="0" fontId="5" fillId="0" borderId="0" xfId="0" applyNumberFormat="1" applyFont="1" applyBorder="1"/>
    <xf numFmtId="43" fontId="5" fillId="0" borderId="0" xfId="0" applyNumberFormat="1" applyFont="1" applyBorder="1" applyAlignment="1">
      <alignment horizontal="center" wrapText="1"/>
    </xf>
    <xf numFmtId="1" fontId="5" fillId="0" borderId="0" xfId="0" applyNumberFormat="1" applyFont="1" applyBorder="1" applyAlignment="1">
      <alignment horizontal="center" wrapText="1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 applyBorder="1"/>
    <xf numFmtId="1" fontId="5" fillId="0" borderId="0" xfId="0" applyNumberFormat="1" applyFont="1" applyBorder="1" applyAlignment="1"/>
    <xf numFmtId="1" fontId="5" fillId="0" borderId="0" xfId="0" applyNumberFormat="1" applyFont="1"/>
    <xf numFmtId="0" fontId="5" fillId="0" borderId="8" xfId="0" applyFont="1" applyFill="1" applyBorder="1" applyAlignment="1" applyProtection="1">
      <alignment horizontal="center"/>
      <protection locked="0"/>
    </xf>
    <xf numFmtId="0" fontId="5" fillId="0" borderId="1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1" fontId="5" fillId="0" borderId="9" xfId="0" applyNumberFormat="1" applyFont="1" applyBorder="1" applyAlignment="1">
      <alignment horizontal="center"/>
    </xf>
    <xf numFmtId="0" fontId="4" fillId="0" borderId="0" xfId="10" applyFont="1" applyFill="1" applyBorder="1" applyAlignment="1">
      <alignment horizontal="left" wrapText="1"/>
    </xf>
    <xf numFmtId="0" fontId="14" fillId="0" borderId="0" xfId="10" applyFont="1" applyFill="1" applyBorder="1" applyAlignment="1"/>
    <xf numFmtId="0" fontId="4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Alignment="1">
      <alignment horizontal="center" wrapText="1"/>
    </xf>
    <xf numFmtId="0" fontId="5" fillId="0" borderId="0" xfId="14" applyFont="1" applyFill="1" applyBorder="1" applyAlignment="1" applyProtection="1">
      <protection locked="0"/>
    </xf>
    <xf numFmtId="0" fontId="12" fillId="0" borderId="0" xfId="0" applyFont="1"/>
    <xf numFmtId="0" fontId="5" fillId="0" borderId="0" xfId="0" applyFont="1" applyFill="1" applyBorder="1" applyAlignment="1" applyProtection="1">
      <alignment horizontal="left" wrapText="1"/>
      <protection locked="0"/>
    </xf>
    <xf numFmtId="43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37" fontId="0" fillId="0" borderId="0" xfId="0" applyNumberFormat="1" applyBorder="1"/>
    <xf numFmtId="37" fontId="0" fillId="0" borderId="0" xfId="0" applyNumberFormat="1" applyAlignment="1">
      <alignment horizontal="right" wrapText="1"/>
    </xf>
    <xf numFmtId="37" fontId="0" fillId="0" borderId="0" xfId="0" applyNumberFormat="1" applyAlignment="1"/>
    <xf numFmtId="37" fontId="0" fillId="0" borderId="0" xfId="0" applyNumberFormat="1" applyBorder="1" applyAlignment="1"/>
    <xf numFmtId="10" fontId="4" fillId="0" borderId="0" xfId="0" applyNumberFormat="1" applyFont="1" applyBorder="1" applyAlignment="1">
      <alignment horizontal="center"/>
    </xf>
    <xf numFmtId="10" fontId="6" fillId="0" borderId="0" xfId="0" applyNumberFormat="1" applyFont="1" applyBorder="1" applyAlignment="1"/>
    <xf numFmtId="10" fontId="7" fillId="0" borderId="0" xfId="0" applyNumberFormat="1" applyFont="1" applyBorder="1" applyAlignment="1">
      <alignment horizontal="center" vertical="top" wrapText="1"/>
    </xf>
    <xf numFmtId="10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3" fontId="4" fillId="0" borderId="0" xfId="0" applyNumberFormat="1" applyFont="1" applyBorder="1" applyAlignment="1">
      <alignment horizontal="center" vertical="top"/>
    </xf>
    <xf numFmtId="43" fontId="5" fillId="0" borderId="14" xfId="0" applyNumberFormat="1" applyFont="1" applyBorder="1" applyAlignment="1">
      <alignment horizontal="center" vertical="top"/>
    </xf>
    <xf numFmtId="43" fontId="5" fillId="0" borderId="5" xfId="0" applyNumberFormat="1" applyFont="1" applyBorder="1" applyAlignment="1">
      <alignment horizontal="center" vertical="top"/>
    </xf>
    <xf numFmtId="164" fontId="5" fillId="0" borderId="5" xfId="0" applyNumberFormat="1" applyFont="1" applyBorder="1" applyAlignment="1">
      <alignment horizontal="center" vertical="top"/>
    </xf>
    <xf numFmtId="43" fontId="5" fillId="0" borderId="15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4" fontId="4" fillId="0" borderId="15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5" fillId="0" borderId="1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164" fontId="5" fillId="0" borderId="0" xfId="0" applyNumberFormat="1" applyFont="1" applyAlignment="1">
      <alignment horizontal="left"/>
    </xf>
    <xf numFmtId="164" fontId="5" fillId="0" borderId="0" xfId="0" applyNumberFormat="1" applyFont="1"/>
    <xf numFmtId="37" fontId="5" fillId="0" borderId="0" xfId="0" applyNumberFormat="1" applyFont="1" applyAlignment="1">
      <alignment horizontal="left"/>
    </xf>
    <xf numFmtId="37" fontId="5" fillId="0" borderId="0" xfId="0" applyNumberFormat="1" applyFont="1"/>
    <xf numFmtId="0" fontId="15" fillId="0" borderId="0" xfId="9" applyFont="1" applyFill="1" applyBorder="1" applyAlignment="1" applyProtection="1">
      <alignment horizontal="center"/>
      <protection locked="0"/>
    </xf>
    <xf numFmtId="0" fontId="16" fillId="0" borderId="0" xfId="17" applyFont="1" applyBorder="1" applyAlignment="1">
      <alignment horizontal="center"/>
    </xf>
    <xf numFmtId="37" fontId="5" fillId="0" borderId="0" xfId="0" applyNumberFormat="1" applyFont="1" applyAlignment="1">
      <alignment horizontal="center"/>
    </xf>
    <xf numFmtId="3" fontId="6" fillId="0" borderId="0" xfId="1" applyNumberFormat="1" applyFont="1" applyBorder="1" applyAlignment="1">
      <alignment horizontal="center" vertical="center"/>
    </xf>
    <xf numFmtId="43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5" xfId="0" applyNumberFormat="1" applyFont="1" applyBorder="1" applyAlignment="1">
      <alignment horizontal="center"/>
    </xf>
    <xf numFmtId="43" fontId="0" fillId="0" borderId="0" xfId="0" applyNumberForma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3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3" fontId="0" fillId="0" borderId="0" xfId="0" applyNumberFormat="1" applyBorder="1" applyAlignment="1">
      <alignment horizontal="center"/>
    </xf>
    <xf numFmtId="0" fontId="10" fillId="0" borderId="0" xfId="9" applyFont="1" applyBorder="1" applyAlignment="1">
      <alignment horizontal="center" vertical="top"/>
    </xf>
    <xf numFmtId="43" fontId="7" fillId="0" borderId="0" xfId="0" applyNumberFormat="1" applyFont="1" applyAlignment="1">
      <alignment horizontal="center"/>
    </xf>
    <xf numFmtId="43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 wrapText="1"/>
    </xf>
    <xf numFmtId="164" fontId="7" fillId="0" borderId="8" xfId="0" applyNumberFormat="1" applyFont="1" applyBorder="1" applyAlignment="1">
      <alignment horizontal="center" wrapText="1"/>
    </xf>
    <xf numFmtId="164" fontId="7" fillId="0" borderId="10" xfId="0" applyNumberFormat="1" applyFont="1" applyBorder="1" applyAlignment="1">
      <alignment horizontal="center" wrapText="1"/>
    </xf>
    <xf numFmtId="3" fontId="7" fillId="0" borderId="8" xfId="1" applyNumberFormat="1" applyFont="1" applyBorder="1" applyAlignment="1">
      <alignment horizontal="center" wrapText="1"/>
    </xf>
    <xf numFmtId="3" fontId="7" fillId="0" borderId="0" xfId="1" applyNumberFormat="1" applyFont="1" applyBorder="1" applyAlignment="1">
      <alignment horizontal="center" wrapText="1"/>
    </xf>
    <xf numFmtId="3" fontId="7" fillId="0" borderId="10" xfId="1" applyNumberFormat="1" applyFont="1" applyBorder="1" applyAlignment="1">
      <alignment horizontal="center" wrapText="1"/>
    </xf>
    <xf numFmtId="10" fontId="7" fillId="0" borderId="0" xfId="0" applyNumberFormat="1" applyFont="1" applyBorder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43" fontId="7" fillId="0" borderId="0" xfId="0" applyNumberFormat="1" applyFont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164" fontId="4" fillId="0" borderId="0" xfId="0" applyNumberFormat="1" applyFont="1" applyBorder="1" applyAlignment="1"/>
    <xf numFmtId="43" fontId="6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43" fontId="6" fillId="0" borderId="0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 vertical="top" wrapText="1"/>
    </xf>
    <xf numFmtId="164" fontId="7" fillId="0" borderId="10" xfId="0" applyNumberFormat="1" applyFont="1" applyBorder="1" applyAlignment="1">
      <alignment horizontal="center" vertical="top" wrapText="1"/>
    </xf>
    <xf numFmtId="3" fontId="7" fillId="0" borderId="8" xfId="1" applyNumberFormat="1" applyFont="1" applyBorder="1" applyAlignment="1">
      <alignment horizontal="center" vertical="top" wrapText="1"/>
    </xf>
    <xf numFmtId="3" fontId="6" fillId="0" borderId="0" xfId="1" applyNumberFormat="1" applyFont="1" applyBorder="1" applyAlignment="1">
      <alignment horizontal="center" vertical="top"/>
    </xf>
    <xf numFmtId="3" fontId="7" fillId="0" borderId="0" xfId="1" applyNumberFormat="1" applyFont="1" applyBorder="1" applyAlignment="1">
      <alignment horizontal="center" vertical="top" wrapText="1"/>
    </xf>
    <xf numFmtId="3" fontId="7" fillId="0" borderId="10" xfId="1" applyNumberFormat="1" applyFont="1" applyBorder="1" applyAlignment="1">
      <alignment horizontal="center" vertical="top" wrapText="1"/>
    </xf>
    <xf numFmtId="43" fontId="6" fillId="0" borderId="0" xfId="0" applyNumberFormat="1" applyFont="1" applyBorder="1" applyAlignment="1"/>
    <xf numFmtId="0" fontId="6" fillId="0" borderId="0" xfId="0" applyFont="1" applyBorder="1" applyAlignment="1">
      <alignment horizontal="center"/>
    </xf>
    <xf numFmtId="49" fontId="6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/>
    </xf>
    <xf numFmtId="10" fontId="6" fillId="0" borderId="0" xfId="0" applyNumberFormat="1" applyFont="1" applyBorder="1" applyAlignment="1">
      <alignment horizontal="center"/>
    </xf>
    <xf numFmtId="0" fontId="10" fillId="0" borderId="8" xfId="9" applyFont="1" applyBorder="1" applyAlignment="1">
      <alignment horizontal="center" vertical="top"/>
    </xf>
    <xf numFmtId="0" fontId="10" fillId="0" borderId="14" xfId="9" applyFont="1" applyBorder="1" applyAlignment="1">
      <alignment horizontal="center"/>
    </xf>
    <xf numFmtId="0" fontId="10" fillId="0" borderId="5" xfId="9" applyFont="1" applyBorder="1" applyAlignment="1">
      <alignment horizontal="center"/>
    </xf>
    <xf numFmtId="43" fontId="7" fillId="0" borderId="5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 wrapText="1"/>
    </xf>
    <xf numFmtId="0" fontId="10" fillId="0" borderId="15" xfId="9" applyFont="1" applyBorder="1" applyAlignment="1">
      <alignment horizontal="center"/>
    </xf>
    <xf numFmtId="0" fontId="17" fillId="0" borderId="12" xfId="9" applyFont="1" applyBorder="1" applyAlignment="1">
      <alignment horizontal="center"/>
    </xf>
    <xf numFmtId="0" fontId="17" fillId="0" borderId="4" xfId="9" applyFont="1" applyBorder="1" applyAlignment="1">
      <alignment horizontal="center"/>
    </xf>
    <xf numFmtId="0" fontId="17" fillId="0" borderId="13" xfId="9" applyFont="1" applyBorder="1" applyAlignment="1">
      <alignment horizontal="center"/>
    </xf>
    <xf numFmtId="1" fontId="7" fillId="0" borderId="8" xfId="0" applyNumberFormat="1" applyFont="1" applyBorder="1" applyAlignment="1">
      <alignment horizontal="center" vertical="top" wrapText="1"/>
    </xf>
    <xf numFmtId="164" fontId="7" fillId="0" borderId="10" xfId="0" applyNumberFormat="1" applyFont="1" applyBorder="1" applyAlignment="1">
      <alignment horizontal="center" vertical="top"/>
    </xf>
    <xf numFmtId="164" fontId="7" fillId="0" borderId="14" xfId="0" applyNumberFormat="1" applyFont="1" applyBorder="1" applyAlignment="1">
      <alignment horizontal="center" wrapText="1"/>
    </xf>
    <xf numFmtId="43" fontId="7" fillId="0" borderId="15" xfId="0" applyNumberFormat="1" applyFont="1" applyBorder="1" applyAlignment="1">
      <alignment horizontal="center"/>
    </xf>
    <xf numFmtId="43" fontId="7" fillId="0" borderId="13" xfId="0" applyNumberFormat="1" applyFont="1" applyBorder="1" applyAlignment="1">
      <alignment horizontal="center"/>
    </xf>
    <xf numFmtId="43" fontId="7" fillId="0" borderId="10" xfId="0" applyNumberFormat="1" applyFont="1" applyBorder="1" applyAlignment="1">
      <alignment horizontal="center"/>
    </xf>
    <xf numFmtId="43" fontId="7" fillId="0" borderId="12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7" fillId="0" borderId="15" xfId="0" applyNumberFormat="1" applyFont="1" applyBorder="1" applyAlignment="1">
      <alignment horizontal="center" wrapText="1"/>
    </xf>
    <xf numFmtId="3" fontId="7" fillId="0" borderId="14" xfId="1" applyNumberFormat="1" applyFont="1" applyBorder="1" applyAlignment="1">
      <alignment horizontal="center" wrapText="1"/>
    </xf>
    <xf numFmtId="3" fontId="6" fillId="0" borderId="5" xfId="1" applyNumberFormat="1" applyFont="1" applyBorder="1" applyAlignment="1">
      <alignment horizontal="center"/>
    </xf>
    <xf numFmtId="3" fontId="7" fillId="0" borderId="5" xfId="1" applyNumberFormat="1" applyFont="1" applyBorder="1" applyAlignment="1">
      <alignment horizontal="center" wrapText="1"/>
    </xf>
    <xf numFmtId="3" fontId="7" fillId="0" borderId="15" xfId="1" applyNumberFormat="1" applyFont="1" applyBorder="1" applyAlignment="1">
      <alignment horizontal="center" wrapText="1"/>
    </xf>
    <xf numFmtId="43" fontId="7" fillId="0" borderId="4" xfId="0" applyNumberFormat="1" applyFont="1" applyBorder="1" applyAlignment="1">
      <alignment horizontal="center"/>
    </xf>
    <xf numFmtId="3" fontId="5" fillId="0" borderId="1" xfId="0" applyNumberFormat="1" applyFont="1" applyBorder="1" applyAlignment="1" applyProtection="1">
      <alignment horizontal="center"/>
      <protection locked="0"/>
    </xf>
    <xf numFmtId="3" fontId="5" fillId="0" borderId="0" xfId="0" applyNumberFormat="1" applyFont="1" applyBorder="1" applyAlignment="1" applyProtection="1">
      <alignment horizontal="center"/>
      <protection locked="0"/>
    </xf>
    <xf numFmtId="3" fontId="5" fillId="0" borderId="0" xfId="0" applyNumberFormat="1" applyFont="1" applyBorder="1" applyAlignment="1" applyProtection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7" fillId="0" borderId="0" xfId="0" applyNumberFormat="1" applyFont="1"/>
    <xf numFmtId="3" fontId="7" fillId="0" borderId="0" xfId="0" applyNumberFormat="1" applyFont="1" applyBorder="1"/>
    <xf numFmtId="43" fontId="7" fillId="0" borderId="0" xfId="0" applyNumberFormat="1" applyFont="1"/>
    <xf numFmtId="43" fontId="7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43" fontId="6" fillId="0" borderId="0" xfId="0" applyNumberFormat="1" applyFont="1"/>
    <xf numFmtId="43" fontId="12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 vertical="top" wrapText="1"/>
    </xf>
    <xf numFmtId="164" fontId="4" fillId="0" borderId="0" xfId="0" applyNumberFormat="1" applyFont="1" applyBorder="1" applyAlignment="1" applyProtection="1"/>
    <xf numFmtId="43" fontId="5" fillId="0" borderId="10" xfId="0" applyNumberFormat="1" applyFont="1" applyBorder="1"/>
    <xf numFmtId="49" fontId="5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vertical="top"/>
    </xf>
    <xf numFmtId="43" fontId="5" fillId="0" borderId="0" xfId="0" applyNumberFormat="1" applyFont="1" applyBorder="1" applyAlignment="1">
      <alignment vertical="top"/>
    </xf>
    <xf numFmtId="1" fontId="5" fillId="0" borderId="0" xfId="0" applyNumberFormat="1" applyFont="1" applyBorder="1" applyAlignment="1">
      <alignment horizontal="center" vertical="top"/>
    </xf>
    <xf numFmtId="43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 vertical="top"/>
    </xf>
    <xf numFmtId="43" fontId="6" fillId="0" borderId="0" xfId="0" applyNumberFormat="1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164" fontId="6" fillId="0" borderId="0" xfId="0" applyNumberFormat="1" applyFont="1" applyBorder="1" applyAlignment="1">
      <alignment horizontal="center" vertical="top"/>
    </xf>
    <xf numFmtId="43" fontId="6" fillId="0" borderId="0" xfId="0" applyNumberFormat="1" applyFont="1" applyAlignment="1">
      <alignment vertical="top"/>
    </xf>
    <xf numFmtId="1" fontId="6" fillId="0" borderId="0" xfId="0" applyNumberFormat="1" applyFont="1" applyBorder="1" applyAlignment="1">
      <alignment horizontal="center" vertical="top"/>
    </xf>
    <xf numFmtId="1" fontId="5" fillId="0" borderId="5" xfId="0" applyNumberFormat="1" applyFont="1" applyBorder="1" applyAlignment="1">
      <alignment horizontal="center" wrapText="1"/>
    </xf>
    <xf numFmtId="43" fontId="4" fillId="0" borderId="0" xfId="0" applyNumberFormat="1" applyFont="1" applyBorder="1" applyAlignment="1">
      <alignment vertical="top"/>
    </xf>
    <xf numFmtId="0" fontId="17" fillId="0" borderId="12" xfId="9" applyFont="1" applyBorder="1" applyAlignment="1">
      <alignment horizontal="center" vertical="top"/>
    </xf>
    <xf numFmtId="0" fontId="17" fillId="0" borderId="4" xfId="9" applyFont="1" applyBorder="1" applyAlignment="1">
      <alignment horizontal="center" vertical="top"/>
    </xf>
    <xf numFmtId="0" fontId="17" fillId="0" borderId="13" xfId="9" applyFont="1" applyBorder="1" applyAlignment="1">
      <alignment horizontal="center" vertical="top"/>
    </xf>
    <xf numFmtId="43" fontId="7" fillId="0" borderId="13" xfId="0" applyNumberFormat="1" applyFont="1" applyBorder="1" applyAlignment="1">
      <alignment horizontal="center" vertical="top"/>
    </xf>
    <xf numFmtId="164" fontId="4" fillId="0" borderId="12" xfId="0" applyNumberFormat="1" applyFont="1" applyBorder="1" applyAlignment="1">
      <alignment horizontal="center" vertical="top"/>
    </xf>
    <xf numFmtId="164" fontId="4" fillId="0" borderId="4" xfId="0" applyNumberFormat="1" applyFont="1" applyBorder="1" applyAlignment="1">
      <alignment horizontal="center" vertical="top"/>
    </xf>
    <xf numFmtId="164" fontId="5" fillId="0" borderId="13" xfId="0" applyNumberFormat="1" applyFont="1" applyBorder="1" applyAlignment="1">
      <alignment horizontal="center" vertical="top"/>
    </xf>
    <xf numFmtId="164" fontId="5" fillId="0" borderId="12" xfId="0" applyNumberFormat="1" applyFont="1" applyBorder="1" applyAlignment="1">
      <alignment horizontal="center" vertical="top"/>
    </xf>
    <xf numFmtId="164" fontId="5" fillId="0" borderId="4" xfId="0" applyNumberFormat="1" applyFont="1" applyBorder="1" applyAlignment="1">
      <alignment horizontal="center" vertical="top"/>
    </xf>
    <xf numFmtId="164" fontId="4" fillId="0" borderId="13" xfId="0" applyNumberFormat="1" applyFont="1" applyBorder="1" applyAlignment="1">
      <alignment horizontal="center" vertical="top"/>
    </xf>
    <xf numFmtId="43" fontId="4" fillId="0" borderId="12" xfId="0" applyNumberFormat="1" applyFont="1" applyBorder="1" applyAlignment="1">
      <alignment vertical="top"/>
    </xf>
    <xf numFmtId="43" fontId="4" fillId="0" borderId="4" xfId="0" applyNumberFormat="1" applyFont="1" applyBorder="1" applyAlignment="1">
      <alignment vertical="top"/>
    </xf>
    <xf numFmtId="43" fontId="4" fillId="0" borderId="13" xfId="0" applyNumberFormat="1" applyFont="1" applyBorder="1" applyAlignment="1">
      <alignment vertical="top"/>
    </xf>
    <xf numFmtId="0" fontId="5" fillId="0" borderId="12" xfId="0" applyNumberFormat="1" applyFont="1" applyBorder="1" applyAlignment="1">
      <alignment horizontal="center" vertical="top"/>
    </xf>
    <xf numFmtId="43" fontId="4" fillId="0" borderId="4" xfId="0" applyNumberFormat="1" applyFont="1" applyBorder="1" applyAlignment="1">
      <alignment horizontal="center" vertical="top"/>
    </xf>
    <xf numFmtId="43" fontId="4" fillId="0" borderId="13" xfId="0" applyNumberFormat="1" applyFont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5" fillId="0" borderId="12" xfId="1" applyNumberFormat="1" applyFont="1" applyBorder="1" applyAlignment="1">
      <alignment horizontal="center" vertical="top" wrapText="1"/>
    </xf>
    <xf numFmtId="3" fontId="4" fillId="0" borderId="4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 wrapText="1"/>
    </xf>
    <xf numFmtId="3" fontId="5" fillId="0" borderId="13" xfId="1" applyNumberFormat="1" applyFont="1" applyBorder="1" applyAlignment="1">
      <alignment horizontal="center" vertical="top" wrapText="1"/>
    </xf>
    <xf numFmtId="49" fontId="13" fillId="0" borderId="0" xfId="0" applyNumberFormat="1" applyFont="1" applyBorder="1" applyAlignment="1"/>
    <xf numFmtId="0" fontId="13" fillId="0" borderId="0" xfId="0" applyNumberFormat="1" applyFont="1" applyBorder="1" applyAlignment="1"/>
    <xf numFmtId="0" fontId="6" fillId="0" borderId="0" xfId="14" applyFont="1" applyFill="1" applyBorder="1" applyAlignment="1" applyProtection="1">
      <protection locked="0"/>
    </xf>
    <xf numFmtId="0" fontId="4" fillId="0" borderId="4" xfId="0" applyNumberFormat="1" applyFont="1" applyBorder="1" applyAlignment="1">
      <alignment horizontal="center"/>
    </xf>
    <xf numFmtId="43" fontId="7" fillId="0" borderId="0" xfId="0" applyNumberFormat="1" applyFont="1" applyBorder="1"/>
    <xf numFmtId="43" fontId="7" fillId="0" borderId="0" xfId="0" applyNumberFormat="1" applyFont="1" applyBorder="1" applyAlignment="1"/>
    <xf numFmtId="1" fontId="7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0" fontId="15" fillId="0" borderId="0" xfId="9" applyFont="1" applyFill="1" applyBorder="1" applyAlignment="1" applyProtection="1">
      <alignment horizontal="center" wrapText="1"/>
      <protection locked="0"/>
    </xf>
    <xf numFmtId="3" fontId="6" fillId="0" borderId="0" xfId="0" applyNumberFormat="1" applyFont="1" applyBorder="1" applyAlignment="1">
      <alignment horizontal="center"/>
    </xf>
    <xf numFmtId="0" fontId="15" fillId="0" borderId="4" xfId="9" applyFont="1" applyFill="1" applyBorder="1" applyAlignment="1" applyProtection="1">
      <alignment horizontal="center"/>
      <protection locked="0"/>
    </xf>
    <xf numFmtId="49" fontId="17" fillId="0" borderId="0" xfId="0" applyNumberFormat="1" applyFont="1" applyBorder="1" applyAlignment="1">
      <alignment horizontal="center"/>
    </xf>
    <xf numFmtId="0" fontId="17" fillId="0" borderId="0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43" fontId="4" fillId="0" borderId="17" xfId="0" applyNumberFormat="1" applyFont="1" applyBorder="1"/>
    <xf numFmtId="0" fontId="4" fillId="0" borderId="7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top"/>
    </xf>
    <xf numFmtId="43" fontId="0" fillId="0" borderId="0" xfId="0" applyNumberFormat="1" applyBorder="1" applyAlignment="1">
      <alignment horizontal="center" vertical="top" wrapText="1"/>
    </xf>
    <xf numFmtId="1" fontId="0" fillId="0" borderId="0" xfId="0" applyNumberFormat="1" applyBorder="1" applyAlignment="1">
      <alignment horizontal="center" vertical="top"/>
    </xf>
    <xf numFmtId="1" fontId="0" fillId="0" borderId="14" xfId="0" applyNumberFormat="1" applyBorder="1" applyAlignment="1">
      <alignment horizontal="center" vertical="top"/>
    </xf>
    <xf numFmtId="1" fontId="0" fillId="0" borderId="5" xfId="0" applyNumberFormat="1" applyBorder="1" applyAlignment="1">
      <alignment horizontal="center" vertical="top"/>
    </xf>
    <xf numFmtId="1" fontId="0" fillId="0" borderId="15" xfId="0" applyNumberFormat="1" applyBorder="1" applyAlignment="1">
      <alignment horizontal="center" vertical="top"/>
    </xf>
    <xf numFmtId="1" fontId="0" fillId="0" borderId="16" xfId="0" applyNumberFormat="1" applyBorder="1" applyAlignment="1">
      <alignment horizontal="center" vertical="top"/>
    </xf>
    <xf numFmtId="1" fontId="0" fillId="0" borderId="0" xfId="0" applyNumberFormat="1" applyBorder="1" applyAlignment="1">
      <alignment horizontal="center" vertical="top" wrapText="1"/>
    </xf>
    <xf numFmtId="43" fontId="4" fillId="0" borderId="4" xfId="0" applyNumberFormat="1" applyFont="1" applyBorder="1"/>
    <xf numFmtId="43" fontId="4" fillId="0" borderId="5" xfId="0" applyNumberFormat="1" applyFont="1" applyBorder="1"/>
    <xf numFmtId="3" fontId="7" fillId="0" borderId="0" xfId="0" applyNumberFormat="1" applyFont="1" applyBorder="1" applyAlignment="1">
      <alignment horizontal="center"/>
    </xf>
    <xf numFmtId="43" fontId="5" fillId="0" borderId="0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 vertical="top"/>
    </xf>
    <xf numFmtId="0" fontId="6" fillId="0" borderId="0" xfId="14" applyFont="1" applyFill="1" applyBorder="1" applyAlignment="1" applyProtection="1">
      <alignment horizontal="center"/>
      <protection locked="0"/>
    </xf>
    <xf numFmtId="0" fontId="5" fillId="0" borderId="16" xfId="0" applyNumberFormat="1" applyFont="1" applyBorder="1" applyAlignment="1">
      <alignment horizontal="center" vertical="top"/>
    </xf>
    <xf numFmtId="0" fontId="5" fillId="0" borderId="14" xfId="0" applyNumberFormat="1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0" fontId="5" fillId="0" borderId="5" xfId="0" applyNumberFormat="1" applyFont="1" applyBorder="1" applyAlignment="1">
      <alignment horizontal="center" vertical="top"/>
    </xf>
    <xf numFmtId="0" fontId="6" fillId="0" borderId="0" xfId="0" applyFont="1" applyFill="1" applyBorder="1" applyAlignment="1" applyProtection="1">
      <alignment horizontal="center"/>
      <protection locked="0"/>
    </xf>
    <xf numFmtId="0" fontId="19" fillId="0" borderId="0" xfId="14" applyFont="1" applyFill="1" applyBorder="1" applyAlignment="1" applyProtection="1">
      <protection locked="0"/>
    </xf>
    <xf numFmtId="43" fontId="0" fillId="0" borderId="4" xfId="0" applyNumberFormat="1" applyBorder="1" applyAlignment="1"/>
    <xf numFmtId="43" fontId="0" fillId="0" borderId="5" xfId="0" applyNumberFormat="1" applyBorder="1" applyAlignment="1"/>
    <xf numFmtId="0" fontId="5" fillId="0" borderId="0" xfId="0" applyFont="1" applyFill="1" applyBorder="1" applyAlignment="1" applyProtection="1">
      <alignment horizontal="center" wrapText="1"/>
      <protection locked="0"/>
    </xf>
    <xf numFmtId="37" fontId="4" fillId="0" borderId="1" xfId="0" applyNumberFormat="1" applyFont="1" applyBorder="1" applyAlignment="1">
      <alignment horizontal="center"/>
    </xf>
    <xf numFmtId="37" fontId="5" fillId="0" borderId="1" xfId="0" applyNumberFormat="1" applyFont="1" applyBorder="1" applyAlignment="1">
      <alignment horizontal="center"/>
    </xf>
    <xf numFmtId="39" fontId="0" fillId="0" borderId="0" xfId="0" applyNumberFormat="1" applyBorder="1" applyAlignment="1">
      <alignment horizontal="center"/>
    </xf>
    <xf numFmtId="0" fontId="5" fillId="0" borderId="13" xfId="0" applyNumberFormat="1" applyFont="1" applyFill="1" applyBorder="1" applyAlignment="1" applyProtection="1">
      <alignment horizontal="center"/>
    </xf>
    <xf numFmtId="0" fontId="12" fillId="0" borderId="13" xfId="9" applyFont="1" applyBorder="1" applyAlignment="1">
      <alignment horizontal="center"/>
    </xf>
    <xf numFmtId="3" fontId="6" fillId="0" borderId="0" xfId="0" applyNumberFormat="1" applyFont="1" applyBorder="1"/>
    <xf numFmtId="3" fontId="0" fillId="0" borderId="0" xfId="0" applyNumberFormat="1" applyBorder="1" applyAlignment="1">
      <alignment horizontal="center" wrapText="1"/>
    </xf>
    <xf numFmtId="43" fontId="6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3" fontId="7" fillId="0" borderId="0" xfId="0" applyNumberFormat="1" applyFont="1" applyBorder="1" applyAlignment="1">
      <alignment horizontal="center" vertical="top"/>
    </xf>
    <xf numFmtId="37" fontId="0" fillId="0" borderId="11" xfId="0" applyNumberForma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17" fillId="0" borderId="0" xfId="9" applyFont="1" applyBorder="1" applyAlignment="1">
      <alignment horizontal="center"/>
    </xf>
    <xf numFmtId="43" fontId="6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43" fontId="6" fillId="0" borderId="0" xfId="0" applyNumberFormat="1" applyFont="1" applyAlignment="1">
      <alignment horizontal="center"/>
    </xf>
    <xf numFmtId="43" fontId="6" fillId="0" borderId="5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43" fontId="6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center" vertical="top"/>
    </xf>
    <xf numFmtId="0" fontId="17" fillId="0" borderId="0" xfId="9" applyFont="1" applyBorder="1" applyAlignment="1">
      <alignment horizontal="center" vertical="top"/>
    </xf>
    <xf numFmtId="43" fontId="6" fillId="0" borderId="0" xfId="0" applyNumberFormat="1" applyFont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center"/>
    </xf>
    <xf numFmtId="43" fontId="4" fillId="0" borderId="0" xfId="0" applyNumberFormat="1" applyFont="1" applyBorder="1" applyAlignment="1">
      <alignment horizontal="center"/>
    </xf>
    <xf numFmtId="0" fontId="6" fillId="0" borderId="5" xfId="14" applyFont="1" applyFill="1" applyBorder="1" applyAlignment="1" applyProtection="1">
      <alignment horizontal="center"/>
      <protection locked="0"/>
    </xf>
  </cellXfs>
  <cellStyles count="18">
    <cellStyle name="Normal" xfId="0" builtinId="0"/>
    <cellStyle name="Normal 2" xfId="1"/>
    <cellStyle name="Normal 2 2" xfId="11"/>
    <cellStyle name="Normal 2 3" xfId="15"/>
    <cellStyle name="Normal 2 4" xfId="10"/>
    <cellStyle name="Normal 2 5" xfId="16"/>
    <cellStyle name="Normal 3" xfId="2"/>
    <cellStyle name="Normal 3 2" xfId="4"/>
    <cellStyle name="Normal 3 2 2" xfId="12"/>
    <cellStyle name="Normal 3 3" xfId="3"/>
    <cellStyle name="Normal 3 3 2" xfId="13"/>
    <cellStyle name="Normal 4" xfId="5"/>
    <cellStyle name="Normal 4 2" xfId="14"/>
    <cellStyle name="Normal 4 3" xfId="17"/>
    <cellStyle name="Normal 5" xfId="6"/>
    <cellStyle name="Normal 6" xfId="7"/>
    <cellStyle name="Normal 7" xfId="8"/>
    <cellStyle name="Normal 8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Lead Sheet 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44</xdr:row>
      <xdr:rowOff>12700</xdr:rowOff>
    </xdr:from>
    <xdr:to>
      <xdr:col>1</xdr:col>
      <xdr:colOff>0</xdr:colOff>
      <xdr:row>48</xdr:row>
      <xdr:rowOff>38100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8100" y="70231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38100</xdr:colOff>
      <xdr:row>44</xdr:row>
      <xdr:rowOff>12700</xdr:rowOff>
    </xdr:from>
    <xdr:to>
      <xdr:col>1</xdr:col>
      <xdr:colOff>0</xdr:colOff>
      <xdr:row>48</xdr:row>
      <xdr:rowOff>38100</xdr:rowOff>
    </xdr:to>
    <xdr:sp macro="" textlink="">
      <xdr:nvSpPr>
        <xdr:cNvPr id="3" name="Text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AAE722-5476-4E92-BA89-D87A8C580FB1}"/>
            </a:ext>
          </a:extLst>
        </xdr:cNvPr>
        <xdr:cNvSpPr txBox="1"/>
      </xdr:nvSpPr>
      <xdr:spPr>
        <a:xfrm>
          <a:off x="38100" y="6870700"/>
          <a:ext cx="914400" cy="6731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44</xdr:row>
      <xdr:rowOff>25400</xdr:rowOff>
    </xdr:from>
    <xdr:to>
      <xdr:col>0</xdr:col>
      <xdr:colOff>939800</xdr:colOff>
      <xdr:row>48</xdr:row>
      <xdr:rowOff>50800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5400" y="70358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43</xdr:row>
      <xdr:rowOff>152400</xdr:rowOff>
    </xdr:from>
    <xdr:to>
      <xdr:col>1</xdr:col>
      <xdr:colOff>63500</xdr:colOff>
      <xdr:row>48</xdr:row>
      <xdr:rowOff>12700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25400" y="69977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44</xdr:row>
      <xdr:rowOff>25400</xdr:rowOff>
    </xdr:from>
    <xdr:to>
      <xdr:col>1</xdr:col>
      <xdr:colOff>76200</xdr:colOff>
      <xdr:row>48</xdr:row>
      <xdr:rowOff>50800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38100" y="70358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44</xdr:row>
      <xdr:rowOff>12700</xdr:rowOff>
    </xdr:from>
    <xdr:to>
      <xdr:col>0</xdr:col>
      <xdr:colOff>952500</xdr:colOff>
      <xdr:row>48</xdr:row>
      <xdr:rowOff>38100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38100" y="70231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44</xdr:row>
      <xdr:rowOff>12700</xdr:rowOff>
    </xdr:from>
    <xdr:to>
      <xdr:col>1</xdr:col>
      <xdr:colOff>76200</xdr:colOff>
      <xdr:row>48</xdr:row>
      <xdr:rowOff>38100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38100" y="70231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38100</xdr:colOff>
      <xdr:row>44</xdr:row>
      <xdr:rowOff>12700</xdr:rowOff>
    </xdr:from>
    <xdr:to>
      <xdr:col>1</xdr:col>
      <xdr:colOff>76200</xdr:colOff>
      <xdr:row>48</xdr:row>
      <xdr:rowOff>38100</xdr:rowOff>
    </xdr:to>
    <xdr:sp macro="" textlink="">
      <xdr:nvSpPr>
        <xdr:cNvPr id="3" name="Text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2C4D89-91E3-471C-BB6B-84D99B380FBF}"/>
            </a:ext>
          </a:extLst>
        </xdr:cNvPr>
        <xdr:cNvSpPr txBox="1"/>
      </xdr:nvSpPr>
      <xdr:spPr>
        <a:xfrm>
          <a:off x="38100" y="6870700"/>
          <a:ext cx="914400" cy="6731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44</xdr:row>
      <xdr:rowOff>0</xdr:rowOff>
    </xdr:from>
    <xdr:to>
      <xdr:col>0</xdr:col>
      <xdr:colOff>977900</xdr:colOff>
      <xdr:row>48</xdr:row>
      <xdr:rowOff>25400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63500" y="70104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45</xdr:row>
      <xdr:rowOff>0</xdr:rowOff>
    </xdr:from>
    <xdr:to>
      <xdr:col>1</xdr:col>
      <xdr:colOff>101600</xdr:colOff>
      <xdr:row>49</xdr:row>
      <xdr:rowOff>25400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/>
      </xdr:nvSpPr>
      <xdr:spPr>
        <a:xfrm>
          <a:off x="63500" y="70104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43</xdr:row>
      <xdr:rowOff>152400</xdr:rowOff>
    </xdr:from>
    <xdr:to>
      <xdr:col>0</xdr:col>
      <xdr:colOff>939800</xdr:colOff>
      <xdr:row>48</xdr:row>
      <xdr:rowOff>12700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/>
      </xdr:nvSpPr>
      <xdr:spPr>
        <a:xfrm>
          <a:off x="25400" y="69977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25400</xdr:colOff>
      <xdr:row>43</xdr:row>
      <xdr:rowOff>152400</xdr:rowOff>
    </xdr:from>
    <xdr:to>
      <xdr:col>0</xdr:col>
      <xdr:colOff>939800</xdr:colOff>
      <xdr:row>48</xdr:row>
      <xdr:rowOff>12700</xdr:rowOff>
    </xdr:to>
    <xdr:sp macro="" textlink="">
      <xdr:nvSpPr>
        <xdr:cNvPr id="3" name="Text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B760B9-688C-4DEF-8ED7-3EFE2338AFF4}"/>
            </a:ext>
          </a:extLst>
        </xdr:cNvPr>
        <xdr:cNvSpPr txBox="1"/>
      </xdr:nvSpPr>
      <xdr:spPr>
        <a:xfrm>
          <a:off x="25400" y="6848475"/>
          <a:ext cx="914400" cy="669925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44</xdr:row>
      <xdr:rowOff>12700</xdr:rowOff>
    </xdr:from>
    <xdr:to>
      <xdr:col>0</xdr:col>
      <xdr:colOff>965200</xdr:colOff>
      <xdr:row>48</xdr:row>
      <xdr:rowOff>38100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50800" y="70231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43</xdr:row>
      <xdr:rowOff>152400</xdr:rowOff>
    </xdr:from>
    <xdr:to>
      <xdr:col>1</xdr:col>
      <xdr:colOff>76200</xdr:colOff>
      <xdr:row>48</xdr:row>
      <xdr:rowOff>12700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 txBox="1"/>
      </xdr:nvSpPr>
      <xdr:spPr>
        <a:xfrm>
          <a:off x="38100" y="69977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44</xdr:row>
      <xdr:rowOff>25400</xdr:rowOff>
    </xdr:from>
    <xdr:to>
      <xdr:col>1</xdr:col>
      <xdr:colOff>76200</xdr:colOff>
      <xdr:row>48</xdr:row>
      <xdr:rowOff>50800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8100" y="70358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44</xdr:row>
      <xdr:rowOff>12700</xdr:rowOff>
    </xdr:from>
    <xdr:to>
      <xdr:col>1</xdr:col>
      <xdr:colOff>88900</xdr:colOff>
      <xdr:row>48</xdr:row>
      <xdr:rowOff>38100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/>
      </xdr:nvSpPr>
      <xdr:spPr>
        <a:xfrm>
          <a:off x="50800" y="70231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44</xdr:row>
      <xdr:rowOff>12700</xdr:rowOff>
    </xdr:from>
    <xdr:to>
      <xdr:col>1</xdr:col>
      <xdr:colOff>101600</xdr:colOff>
      <xdr:row>48</xdr:row>
      <xdr:rowOff>38100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 txBox="1"/>
      </xdr:nvSpPr>
      <xdr:spPr>
        <a:xfrm>
          <a:off x="63500" y="70231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63500</xdr:colOff>
      <xdr:row>44</xdr:row>
      <xdr:rowOff>12700</xdr:rowOff>
    </xdr:from>
    <xdr:to>
      <xdr:col>1</xdr:col>
      <xdr:colOff>101600</xdr:colOff>
      <xdr:row>48</xdr:row>
      <xdr:rowOff>38100</xdr:rowOff>
    </xdr:to>
    <xdr:sp macro="" textlink="">
      <xdr:nvSpPr>
        <xdr:cNvPr id="3" name="Text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BA533F-7EEB-486E-9603-FBAA6E56472A}"/>
            </a:ext>
          </a:extLst>
        </xdr:cNvPr>
        <xdr:cNvSpPr txBox="1"/>
      </xdr:nvSpPr>
      <xdr:spPr>
        <a:xfrm>
          <a:off x="63500" y="6870700"/>
          <a:ext cx="914400" cy="6731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43</xdr:row>
      <xdr:rowOff>152400</xdr:rowOff>
    </xdr:from>
    <xdr:to>
      <xdr:col>1</xdr:col>
      <xdr:colOff>25400</xdr:colOff>
      <xdr:row>48</xdr:row>
      <xdr:rowOff>12700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38100" y="69977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44</xdr:row>
      <xdr:rowOff>12700</xdr:rowOff>
    </xdr:from>
    <xdr:to>
      <xdr:col>1</xdr:col>
      <xdr:colOff>101600</xdr:colOff>
      <xdr:row>48</xdr:row>
      <xdr:rowOff>38100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 txBox="1"/>
      </xdr:nvSpPr>
      <xdr:spPr>
        <a:xfrm>
          <a:off x="63500" y="70231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63500</xdr:colOff>
      <xdr:row>44</xdr:row>
      <xdr:rowOff>12700</xdr:rowOff>
    </xdr:from>
    <xdr:to>
      <xdr:col>1</xdr:col>
      <xdr:colOff>101600</xdr:colOff>
      <xdr:row>48</xdr:row>
      <xdr:rowOff>38100</xdr:rowOff>
    </xdr:to>
    <xdr:sp macro="" textlink="">
      <xdr:nvSpPr>
        <xdr:cNvPr id="3" name="Text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05131D-0E8C-4577-A191-F7EE30746A0C}"/>
            </a:ext>
          </a:extLst>
        </xdr:cNvPr>
        <xdr:cNvSpPr txBox="1"/>
      </xdr:nvSpPr>
      <xdr:spPr>
        <a:xfrm>
          <a:off x="63500" y="6870700"/>
          <a:ext cx="914400" cy="6731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25400</xdr:rowOff>
    </xdr:from>
    <xdr:to>
      <xdr:col>1</xdr:col>
      <xdr:colOff>38100</xdr:colOff>
      <xdr:row>48</xdr:row>
      <xdr:rowOff>50800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70358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0</xdr:colOff>
      <xdr:row>44</xdr:row>
      <xdr:rowOff>25400</xdr:rowOff>
    </xdr:from>
    <xdr:to>
      <xdr:col>1</xdr:col>
      <xdr:colOff>38100</xdr:colOff>
      <xdr:row>48</xdr:row>
      <xdr:rowOff>50800</xdr:rowOff>
    </xdr:to>
    <xdr:sp macro="" textlink="">
      <xdr:nvSpPr>
        <xdr:cNvPr id="3" name="Text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5162FB-E8CE-4DE5-8387-CF02060F2737}"/>
            </a:ext>
          </a:extLst>
        </xdr:cNvPr>
        <xdr:cNvSpPr txBox="1"/>
      </xdr:nvSpPr>
      <xdr:spPr>
        <a:xfrm>
          <a:off x="0" y="6997700"/>
          <a:ext cx="914400" cy="6731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44</xdr:row>
      <xdr:rowOff>0</xdr:rowOff>
    </xdr:from>
    <xdr:to>
      <xdr:col>1</xdr:col>
      <xdr:colOff>12700</xdr:colOff>
      <xdr:row>48</xdr:row>
      <xdr:rowOff>25400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5400" y="73406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25400</xdr:colOff>
      <xdr:row>44</xdr:row>
      <xdr:rowOff>0</xdr:rowOff>
    </xdr:from>
    <xdr:to>
      <xdr:col>1</xdr:col>
      <xdr:colOff>12700</xdr:colOff>
      <xdr:row>48</xdr:row>
      <xdr:rowOff>25400</xdr:rowOff>
    </xdr:to>
    <xdr:sp macro="" textlink="">
      <xdr:nvSpPr>
        <xdr:cNvPr id="3" name="Text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836731-2DD3-4E4B-9574-5836B2292923}"/>
            </a:ext>
          </a:extLst>
        </xdr:cNvPr>
        <xdr:cNvSpPr txBox="1"/>
      </xdr:nvSpPr>
      <xdr:spPr>
        <a:xfrm>
          <a:off x="25400" y="6867525"/>
          <a:ext cx="911225" cy="6731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44</xdr:row>
      <xdr:rowOff>12700</xdr:rowOff>
    </xdr:from>
    <xdr:to>
      <xdr:col>0</xdr:col>
      <xdr:colOff>952500</xdr:colOff>
      <xdr:row>48</xdr:row>
      <xdr:rowOff>38100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38100" y="70866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38100</xdr:colOff>
      <xdr:row>44</xdr:row>
      <xdr:rowOff>12700</xdr:rowOff>
    </xdr:from>
    <xdr:to>
      <xdr:col>0</xdr:col>
      <xdr:colOff>952500</xdr:colOff>
      <xdr:row>48</xdr:row>
      <xdr:rowOff>38100</xdr:rowOff>
    </xdr:to>
    <xdr:sp macro="" textlink="">
      <xdr:nvSpPr>
        <xdr:cNvPr id="3" name="Text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D84B09-65A5-4C0B-8E89-95993A2E99DB}"/>
            </a:ext>
          </a:extLst>
        </xdr:cNvPr>
        <xdr:cNvSpPr txBox="1"/>
      </xdr:nvSpPr>
      <xdr:spPr>
        <a:xfrm>
          <a:off x="38100" y="6918325"/>
          <a:ext cx="914400" cy="6731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44</xdr:row>
      <xdr:rowOff>0</xdr:rowOff>
    </xdr:from>
    <xdr:to>
      <xdr:col>1</xdr:col>
      <xdr:colOff>50800</xdr:colOff>
      <xdr:row>48</xdr:row>
      <xdr:rowOff>25400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12700" y="70104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12700</xdr:colOff>
      <xdr:row>44</xdr:row>
      <xdr:rowOff>0</xdr:rowOff>
    </xdr:from>
    <xdr:to>
      <xdr:col>1</xdr:col>
      <xdr:colOff>50800</xdr:colOff>
      <xdr:row>48</xdr:row>
      <xdr:rowOff>25400</xdr:rowOff>
    </xdr:to>
    <xdr:sp macro="" textlink="">
      <xdr:nvSpPr>
        <xdr:cNvPr id="3" name="TextBox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0B8D65-CD9E-463E-A983-2770DA4A839A}"/>
            </a:ext>
          </a:extLst>
        </xdr:cNvPr>
        <xdr:cNvSpPr txBox="1"/>
      </xdr:nvSpPr>
      <xdr:spPr>
        <a:xfrm>
          <a:off x="12700" y="6858000"/>
          <a:ext cx="914400" cy="6731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38100</xdr:rowOff>
    </xdr:from>
    <xdr:to>
      <xdr:col>1</xdr:col>
      <xdr:colOff>38100</xdr:colOff>
      <xdr:row>48</xdr:row>
      <xdr:rowOff>63500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0" y="70485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44</xdr:row>
      <xdr:rowOff>0</xdr:rowOff>
    </xdr:from>
    <xdr:to>
      <xdr:col>0</xdr:col>
      <xdr:colOff>927100</xdr:colOff>
      <xdr:row>48</xdr:row>
      <xdr:rowOff>25400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12700" y="70104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44</xdr:row>
      <xdr:rowOff>38100</xdr:rowOff>
    </xdr:from>
    <xdr:to>
      <xdr:col>0</xdr:col>
      <xdr:colOff>939800</xdr:colOff>
      <xdr:row>48</xdr:row>
      <xdr:rowOff>63500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25400" y="7048500"/>
          <a:ext cx="914400" cy="6858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  <xdr:twoCellAnchor>
    <xdr:from>
      <xdr:col>0</xdr:col>
      <xdr:colOff>25400</xdr:colOff>
      <xdr:row>44</xdr:row>
      <xdr:rowOff>38100</xdr:rowOff>
    </xdr:from>
    <xdr:to>
      <xdr:col>0</xdr:col>
      <xdr:colOff>939800</xdr:colOff>
      <xdr:row>48</xdr:row>
      <xdr:rowOff>63500</xdr:rowOff>
    </xdr:to>
    <xdr:sp macro="" textlink="">
      <xdr:nvSpPr>
        <xdr:cNvPr id="4" name="Text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3DB98B2-120D-4E61-BDA2-5BFEF97DC4C2}"/>
            </a:ext>
          </a:extLst>
        </xdr:cNvPr>
        <xdr:cNvSpPr txBox="1"/>
      </xdr:nvSpPr>
      <xdr:spPr>
        <a:xfrm>
          <a:off x="25400" y="6896100"/>
          <a:ext cx="914400" cy="673100"/>
        </a:xfrm>
        <a:prstGeom prst="rect">
          <a:avLst/>
        </a:prstGeom>
        <a:solidFill>
          <a:schemeClr val="bg1">
            <a:lumMod val="65000"/>
          </a:schemeClr>
        </a:solidFill>
        <a:ln/>
        <a:scene3d>
          <a:camera prst="orthographicFront"/>
          <a:lightRig rig="threePt" dir="t"/>
        </a:scene3d>
        <a:sp3d>
          <a:bevelT prst="angle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400" b="1">
              <a:latin typeface="Arial" pitchFamily="34" charset="0"/>
              <a:cs typeface="Arial" pitchFamily="34" charset="0"/>
            </a:rPr>
            <a:t>Lead Sheet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7" Type="http://schemas.openxmlformats.org/officeDocument/2006/relationships/drawing" Target="../drawings/drawing9.xml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7" Type="http://schemas.openxmlformats.org/officeDocument/2006/relationships/drawing" Target="../drawings/drawing10.xml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7" Type="http://schemas.openxmlformats.org/officeDocument/2006/relationships/drawing" Target="../drawings/drawing11.xml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7" Type="http://schemas.openxmlformats.org/officeDocument/2006/relationships/drawing" Target="../drawings/drawing12.xml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7" Type="http://schemas.openxmlformats.org/officeDocument/2006/relationships/drawing" Target="../drawings/drawing13.xml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7" Type="http://schemas.openxmlformats.org/officeDocument/2006/relationships/drawing" Target="../drawings/drawing14.xml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drawing" Target="../drawings/drawing15.xml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7" Type="http://schemas.openxmlformats.org/officeDocument/2006/relationships/drawing" Target="../drawings/drawing16.xml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7" Type="http://schemas.openxmlformats.org/officeDocument/2006/relationships/drawing" Target="../drawings/drawing17.xml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7" Type="http://schemas.openxmlformats.org/officeDocument/2006/relationships/drawing" Target="../drawings/drawing18.xml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7" Type="http://schemas.openxmlformats.org/officeDocument/2006/relationships/drawing" Target="../drawings/drawing19.xml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7" Type="http://schemas.openxmlformats.org/officeDocument/2006/relationships/drawing" Target="../drawings/drawing20.xml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9.bin"/><Relationship Id="rId7" Type="http://schemas.openxmlformats.org/officeDocument/2006/relationships/drawing" Target="../drawings/drawing21.xml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6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5.bin"/><Relationship Id="rId7" Type="http://schemas.openxmlformats.org/officeDocument/2006/relationships/drawing" Target="../drawings/drawing22.xml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5" Type="http://schemas.openxmlformats.org/officeDocument/2006/relationships/printerSettings" Target="../printerSettings/printerSettings137.bin"/><Relationship Id="rId4" Type="http://schemas.openxmlformats.org/officeDocument/2006/relationships/printerSettings" Target="../printerSettings/printerSettings136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1.bin"/><Relationship Id="rId7" Type="http://schemas.openxmlformats.org/officeDocument/2006/relationships/drawing" Target="../drawings/drawing23.xml"/><Relationship Id="rId2" Type="http://schemas.openxmlformats.org/officeDocument/2006/relationships/printerSettings" Target="../printerSettings/printerSettings140.bin"/><Relationship Id="rId1" Type="http://schemas.openxmlformats.org/officeDocument/2006/relationships/printerSettings" Target="../printerSettings/printerSettings139.bin"/><Relationship Id="rId6" Type="http://schemas.openxmlformats.org/officeDocument/2006/relationships/printerSettings" Target="../printerSettings/printerSettings144.bin"/><Relationship Id="rId5" Type="http://schemas.openxmlformats.org/officeDocument/2006/relationships/printerSettings" Target="../printerSettings/printerSettings143.bin"/><Relationship Id="rId4" Type="http://schemas.openxmlformats.org/officeDocument/2006/relationships/printerSettings" Target="../printerSettings/printerSettings14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7" Type="http://schemas.openxmlformats.org/officeDocument/2006/relationships/drawing" Target="../drawings/drawing2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7" Type="http://schemas.openxmlformats.org/officeDocument/2006/relationships/drawing" Target="../drawings/drawing3.x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7" Type="http://schemas.openxmlformats.org/officeDocument/2006/relationships/drawing" Target="../drawings/drawing4.xml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drawing" Target="../drawings/drawing5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7" Type="http://schemas.openxmlformats.org/officeDocument/2006/relationships/drawing" Target="../drawings/drawing6.xml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7" Type="http://schemas.openxmlformats.org/officeDocument/2006/relationships/drawing" Target="../drawings/drawing7.xml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7" Type="http://schemas.openxmlformats.org/officeDocument/2006/relationships/drawing" Target="../drawings/drawing8.xml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EU971"/>
  <sheetViews>
    <sheetView tabSelected="1" zoomScale="75" zoomScaleNormal="75" zoomScaleSheetLayoutView="75" workbookViewId="0">
      <pane xSplit="1" ySplit="8" topLeftCell="B9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G20" sqref="G20"/>
    </sheetView>
  </sheetViews>
  <sheetFormatPr defaultRowHeight="12.75" x14ac:dyDescent="0.2"/>
  <cols>
    <col min="1" max="1" width="13.28515625" style="2" customWidth="1"/>
    <col min="2" max="2" width="1.7109375" style="1" customWidth="1"/>
    <col min="3" max="3" width="12.140625" style="13" customWidth="1"/>
    <col min="4" max="4" width="1.7109375" style="13" customWidth="1"/>
    <col min="5" max="5" width="12.140625" style="13" customWidth="1"/>
    <col min="6" max="6" width="1.7109375" style="13" customWidth="1"/>
    <col min="7" max="7" width="15.85546875" style="14" customWidth="1"/>
    <col min="8" max="8" width="1.7109375" style="14" customWidth="1"/>
    <col min="9" max="9" width="12.140625" style="14" customWidth="1"/>
    <col min="10" max="10" width="1.7109375" style="14" customWidth="1"/>
    <col min="11" max="11" width="15.85546875" style="14" customWidth="1"/>
    <col min="12" max="12" width="1.7109375" style="14" customWidth="1"/>
    <col min="13" max="13" width="12.140625" style="14" customWidth="1"/>
    <col min="14" max="14" width="1.7109375" style="14" customWidth="1"/>
    <col min="15" max="15" width="12.140625" style="14" customWidth="1"/>
    <col min="16" max="16" width="1.7109375" style="14" customWidth="1"/>
    <col min="17" max="17" width="14.140625" style="14" customWidth="1"/>
    <col min="18" max="18" width="1.7109375" style="14" customWidth="1"/>
    <col min="19" max="19" width="12.28515625" style="14" customWidth="1"/>
    <col min="20" max="20" width="1.7109375" style="14" customWidth="1"/>
    <col min="21" max="21" width="12.140625" style="14" customWidth="1"/>
    <col min="22" max="22" width="1.7109375" style="14" customWidth="1"/>
    <col min="23" max="23" width="12.140625" style="14" customWidth="1"/>
    <col min="24" max="24" width="1.7109375" style="14" customWidth="1"/>
    <col min="25" max="25" width="12.140625" style="14" customWidth="1"/>
    <col min="26" max="26" width="1.7109375" style="14" customWidth="1"/>
    <col min="27" max="27" width="12.140625" style="14" customWidth="1"/>
    <col min="28" max="28" width="1.7109375" style="14" customWidth="1"/>
    <col min="29" max="29" width="12.140625" style="14" customWidth="1"/>
    <col min="30" max="30" width="1.7109375" style="14" customWidth="1"/>
    <col min="31" max="31" width="12.140625" style="14" customWidth="1"/>
    <col min="32" max="32" width="1.7109375" style="14" customWidth="1"/>
    <col min="33" max="33" width="14.28515625" style="14" customWidth="1"/>
    <col min="34" max="34" width="1.7109375" style="14" customWidth="1"/>
    <col min="35" max="35" width="12.85546875" style="14" customWidth="1"/>
    <col min="36" max="36" width="1.7109375" style="14" customWidth="1"/>
    <col min="37" max="37" width="12.140625" style="14" customWidth="1"/>
    <col min="38" max="38" width="1.7109375" style="14" customWidth="1"/>
    <col min="39" max="39" width="12.140625" style="14" customWidth="1"/>
    <col min="40" max="40" width="1.7109375" style="14" customWidth="1"/>
    <col min="41" max="41" width="14" style="14" bestFit="1" customWidth="1"/>
    <col min="42" max="42" width="1.7109375" style="14" customWidth="1"/>
    <col min="43" max="43" width="9.42578125" style="14" bestFit="1" customWidth="1"/>
    <col min="44" max="44" width="1.7109375" style="14" customWidth="1"/>
    <col min="45" max="45" width="9.42578125" style="14" bestFit="1" customWidth="1"/>
    <col min="46" max="46" width="1.7109375" style="14" customWidth="1"/>
    <col min="47" max="47" width="12.28515625" style="57" customWidth="1"/>
    <col min="48" max="48" width="1.7109375" style="14" customWidth="1"/>
    <col min="49" max="49" width="12" style="14" customWidth="1"/>
    <col min="50" max="50" width="1.7109375" style="14" customWidth="1"/>
    <col min="51" max="51" width="12" style="14" customWidth="1"/>
    <col min="52" max="52" width="1.7109375" style="14" customWidth="1"/>
    <col min="53" max="53" width="12" style="14" customWidth="1"/>
    <col min="54" max="54" width="1.7109375" style="13" customWidth="1"/>
    <col min="55" max="55" width="12" style="14" customWidth="1"/>
    <col min="56" max="56" width="1.7109375" style="13" customWidth="1"/>
    <col min="57" max="57" width="12" style="14" customWidth="1"/>
    <col min="58" max="58" width="1.7109375" style="13" customWidth="1"/>
    <col min="59" max="59" width="12" style="59" customWidth="1"/>
    <col min="60" max="60" width="1.7109375" style="13" customWidth="1"/>
    <col min="61" max="61" width="9.140625" style="13"/>
    <col min="62" max="62" width="1.7109375" style="13" customWidth="1"/>
    <col min="63" max="63" width="9.140625" style="13"/>
    <col min="64" max="64" width="1.7109375" style="13" customWidth="1"/>
    <col min="65" max="65" width="9.140625" style="13"/>
    <col min="66" max="66" width="1.7109375" style="13" customWidth="1"/>
    <col min="67" max="67" width="9.140625" style="13"/>
    <col min="68" max="68" width="1.7109375" style="13" customWidth="1"/>
    <col min="69" max="69" width="9.140625" style="13"/>
    <col min="70" max="70" width="1.7109375" style="13" customWidth="1"/>
    <col min="71" max="71" width="9.140625" style="13"/>
    <col min="72" max="72" width="1.7109375" style="13" customWidth="1"/>
    <col min="73" max="73" width="9.140625" style="13"/>
    <col min="74" max="74" width="1.7109375" style="13" customWidth="1"/>
    <col min="75" max="75" width="9.140625" style="13"/>
    <col min="76" max="76" width="1.7109375" style="13" customWidth="1"/>
    <col min="77" max="99" width="9.140625" style="13"/>
    <col min="100" max="16384" width="9.140625" style="1"/>
  </cols>
  <sheetData>
    <row r="2" spans="1:151" s="66" customFormat="1" x14ac:dyDescent="0.2">
      <c r="A2" s="73"/>
      <c r="C2" s="285"/>
      <c r="D2" s="50"/>
      <c r="E2" s="50"/>
      <c r="F2" s="50"/>
      <c r="G2" s="50"/>
      <c r="H2" s="50"/>
      <c r="I2" s="50"/>
      <c r="J2" s="50"/>
      <c r="K2" s="285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285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7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59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</row>
    <row r="3" spans="1:151" s="154" customFormat="1" ht="15.75" thickBot="1" x14ac:dyDescent="0.3">
      <c r="A3" s="322"/>
      <c r="C3" s="458" t="s">
        <v>163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  <c r="P3" s="458"/>
      <c r="Q3" s="458"/>
      <c r="R3" s="125"/>
      <c r="S3" s="458" t="s">
        <v>177</v>
      </c>
      <c r="T3" s="458"/>
      <c r="U3" s="458"/>
      <c r="V3" s="458"/>
      <c r="W3" s="458"/>
      <c r="X3" s="458"/>
      <c r="Y3" s="458"/>
      <c r="Z3" s="458"/>
      <c r="AA3" s="458"/>
      <c r="AB3" s="458"/>
      <c r="AC3" s="458"/>
      <c r="AD3" s="125"/>
      <c r="AE3" s="458" t="s">
        <v>80</v>
      </c>
      <c r="AF3" s="458"/>
      <c r="AG3" s="458"/>
      <c r="AI3" s="459" t="s">
        <v>181</v>
      </c>
      <c r="AJ3" s="459"/>
      <c r="AK3" s="459"/>
      <c r="AL3" s="323"/>
      <c r="AM3" s="457" t="s">
        <v>185</v>
      </c>
      <c r="AN3" s="457"/>
      <c r="AO3" s="457"/>
      <c r="AP3" s="323"/>
      <c r="AQ3" s="457" t="s">
        <v>196</v>
      </c>
      <c r="AR3" s="457"/>
      <c r="AS3" s="457"/>
      <c r="AT3" s="323"/>
      <c r="AU3" s="413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25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</row>
    <row r="4" spans="1:151" s="127" customFormat="1" ht="15" x14ac:dyDescent="0.25">
      <c r="C4" s="129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30"/>
      <c r="R4" s="154"/>
      <c r="S4" s="129"/>
      <c r="T4" s="128"/>
      <c r="U4" s="128"/>
      <c r="V4" s="128"/>
      <c r="W4" s="128"/>
      <c r="X4" s="128"/>
      <c r="Y4" s="128"/>
      <c r="Z4" s="128"/>
      <c r="AA4" s="128"/>
      <c r="AB4" s="128"/>
      <c r="AC4" s="450" t="s">
        <v>98</v>
      </c>
      <c r="AD4" s="453"/>
      <c r="AE4" s="129"/>
      <c r="AF4" s="128"/>
      <c r="AG4" s="130"/>
      <c r="AI4" s="129"/>
      <c r="AJ4" s="128"/>
      <c r="AK4" s="130"/>
      <c r="AL4" s="154"/>
      <c r="AM4" s="129"/>
      <c r="AN4" s="128"/>
      <c r="AO4" s="450" t="s">
        <v>113</v>
      </c>
      <c r="AP4" s="154"/>
      <c r="AQ4" s="129"/>
      <c r="AR4" s="128"/>
      <c r="AS4" s="130"/>
      <c r="AT4" s="154"/>
      <c r="AU4" s="131"/>
      <c r="AV4" s="132"/>
      <c r="AW4" s="133"/>
      <c r="AX4" s="132"/>
      <c r="AY4" s="133"/>
      <c r="AZ4" s="132"/>
      <c r="BA4" s="133"/>
      <c r="BB4" s="132"/>
      <c r="BC4" s="133"/>
      <c r="BD4" s="132"/>
      <c r="BE4" s="134"/>
      <c r="BF4" s="135"/>
      <c r="BG4" s="252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</row>
    <row r="5" spans="1:151" s="127" customFormat="1" ht="15" x14ac:dyDescent="0.25">
      <c r="A5" s="277"/>
      <c r="C5" s="124" t="s">
        <v>145</v>
      </c>
      <c r="D5" s="125"/>
      <c r="E5" s="125" t="s">
        <v>124</v>
      </c>
      <c r="F5" s="125"/>
      <c r="G5" s="125" t="s">
        <v>148</v>
      </c>
      <c r="H5" s="125"/>
      <c r="I5" s="125" t="s">
        <v>150</v>
      </c>
      <c r="J5" s="125"/>
      <c r="K5" s="125" t="s">
        <v>152</v>
      </c>
      <c r="L5" s="125"/>
      <c r="M5" s="125" t="s">
        <v>154</v>
      </c>
      <c r="N5" s="125"/>
      <c r="O5" s="125" t="s">
        <v>156</v>
      </c>
      <c r="P5" s="137"/>
      <c r="Q5" s="123" t="s">
        <v>130</v>
      </c>
      <c r="R5" s="125"/>
      <c r="S5" s="124" t="s">
        <v>96</v>
      </c>
      <c r="T5" s="125"/>
      <c r="U5" s="125" t="s">
        <v>97</v>
      </c>
      <c r="V5" s="125"/>
      <c r="W5" s="125" t="s">
        <v>166</v>
      </c>
      <c r="X5" s="125"/>
      <c r="Y5" s="125" t="s">
        <v>168</v>
      </c>
      <c r="Z5" s="125"/>
      <c r="AA5" s="125" t="s">
        <v>127</v>
      </c>
      <c r="AB5" s="125"/>
      <c r="AC5" s="340" t="s">
        <v>187</v>
      </c>
      <c r="AD5" s="125"/>
      <c r="AE5" s="124" t="s">
        <v>173</v>
      </c>
      <c r="AF5" s="125"/>
      <c r="AG5" s="123" t="s">
        <v>175</v>
      </c>
      <c r="AH5" s="137"/>
      <c r="AI5" s="124" t="s">
        <v>178</v>
      </c>
      <c r="AJ5" s="137"/>
      <c r="AK5" s="123" t="s">
        <v>178</v>
      </c>
      <c r="AL5" s="137"/>
      <c r="AM5" s="124" t="s">
        <v>125</v>
      </c>
      <c r="AN5" s="137"/>
      <c r="AO5" s="336" t="s">
        <v>183</v>
      </c>
      <c r="AP5" s="137"/>
      <c r="AQ5" s="155"/>
      <c r="AR5" s="137"/>
      <c r="AS5" s="156"/>
      <c r="AT5" s="137"/>
      <c r="AU5" s="138" t="s">
        <v>81</v>
      </c>
      <c r="AV5" s="139"/>
      <c r="AW5" s="140" t="s">
        <v>24</v>
      </c>
      <c r="AX5" s="139"/>
      <c r="AY5" s="140" t="s">
        <v>24</v>
      </c>
      <c r="AZ5" s="139"/>
      <c r="BA5" s="140" t="s">
        <v>24</v>
      </c>
      <c r="BB5" s="139"/>
      <c r="BC5" s="140" t="s">
        <v>24</v>
      </c>
      <c r="BD5" s="139"/>
      <c r="BE5" s="141" t="s">
        <v>24</v>
      </c>
      <c r="BF5" s="135"/>
      <c r="BG5" s="252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</row>
    <row r="6" spans="1:151" s="142" customFormat="1" ht="15" x14ac:dyDescent="0.2">
      <c r="A6" s="277" t="s">
        <v>0</v>
      </c>
      <c r="C6" s="326" t="s">
        <v>146</v>
      </c>
      <c r="D6" s="292"/>
      <c r="E6" s="292" t="s">
        <v>147</v>
      </c>
      <c r="F6" s="292"/>
      <c r="G6" s="292" t="s">
        <v>149</v>
      </c>
      <c r="H6" s="292"/>
      <c r="I6" s="292" t="s">
        <v>151</v>
      </c>
      <c r="J6" s="292"/>
      <c r="K6" s="292" t="s">
        <v>153</v>
      </c>
      <c r="L6" s="292"/>
      <c r="M6" s="292" t="s">
        <v>155</v>
      </c>
      <c r="N6" s="292"/>
      <c r="O6" s="292" t="s">
        <v>157</v>
      </c>
      <c r="P6" s="143"/>
      <c r="Q6" s="126" t="s">
        <v>158</v>
      </c>
      <c r="R6" s="292"/>
      <c r="S6" s="326" t="s">
        <v>164</v>
      </c>
      <c r="T6" s="292"/>
      <c r="U6" s="292" t="s">
        <v>165</v>
      </c>
      <c r="V6" s="292"/>
      <c r="W6" s="292" t="s">
        <v>167</v>
      </c>
      <c r="X6" s="292"/>
      <c r="Y6" s="292" t="s">
        <v>169</v>
      </c>
      <c r="Z6" s="292"/>
      <c r="AA6" s="292" t="s">
        <v>170</v>
      </c>
      <c r="AB6" s="292"/>
      <c r="AC6" s="126" t="s">
        <v>186</v>
      </c>
      <c r="AD6" s="292"/>
      <c r="AE6" s="326" t="s">
        <v>174</v>
      </c>
      <c r="AF6" s="292"/>
      <c r="AG6" s="126" t="s">
        <v>176</v>
      </c>
      <c r="AH6" s="143"/>
      <c r="AI6" s="335" t="s">
        <v>179</v>
      </c>
      <c r="AJ6" s="143"/>
      <c r="AK6" s="316" t="s">
        <v>180</v>
      </c>
      <c r="AL6" s="143"/>
      <c r="AM6" s="315" t="s">
        <v>182</v>
      </c>
      <c r="AN6" s="143"/>
      <c r="AO6" s="297" t="s">
        <v>184</v>
      </c>
      <c r="AP6" s="143"/>
      <c r="AQ6" s="315" t="s">
        <v>106</v>
      </c>
      <c r="AR6" s="143"/>
      <c r="AS6" s="316" t="s">
        <v>107</v>
      </c>
      <c r="AT6" s="143"/>
      <c r="AU6" s="317" t="s">
        <v>82</v>
      </c>
      <c r="AV6" s="318"/>
      <c r="AW6" s="319" t="s">
        <v>83</v>
      </c>
      <c r="AX6" s="318"/>
      <c r="AY6" s="319" t="s">
        <v>84</v>
      </c>
      <c r="AZ6" s="318"/>
      <c r="BA6" s="319" t="s">
        <v>85</v>
      </c>
      <c r="BB6" s="318"/>
      <c r="BC6" s="319" t="s">
        <v>86</v>
      </c>
      <c r="BD6" s="318"/>
      <c r="BE6" s="320" t="s">
        <v>87</v>
      </c>
      <c r="BF6" s="143"/>
      <c r="BG6" s="253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</row>
    <row r="7" spans="1:151" s="293" customFormat="1" ht="15" x14ac:dyDescent="0.25">
      <c r="A7" s="277"/>
      <c r="C7" s="124" t="s">
        <v>93</v>
      </c>
      <c r="D7" s="125"/>
      <c r="E7" s="125" t="s">
        <v>99</v>
      </c>
      <c r="F7" s="125"/>
      <c r="G7" s="294" t="s">
        <v>159</v>
      </c>
      <c r="H7" s="125"/>
      <c r="I7" s="125" t="s">
        <v>160</v>
      </c>
      <c r="J7" s="125"/>
      <c r="K7" s="125" t="s">
        <v>95</v>
      </c>
      <c r="L7" s="125"/>
      <c r="M7" s="125" t="s">
        <v>94</v>
      </c>
      <c r="N7" s="125"/>
      <c r="O7" s="294" t="s">
        <v>161</v>
      </c>
      <c r="P7" s="295"/>
      <c r="Q7" s="123" t="s">
        <v>162</v>
      </c>
      <c r="R7" s="125"/>
      <c r="S7" s="124" t="s">
        <v>93</v>
      </c>
      <c r="T7" s="125"/>
      <c r="U7" s="125" t="s">
        <v>99</v>
      </c>
      <c r="V7" s="125"/>
      <c r="W7" s="125" t="s">
        <v>171</v>
      </c>
      <c r="X7" s="125"/>
      <c r="Y7" s="125" t="s">
        <v>172</v>
      </c>
      <c r="Z7" s="125"/>
      <c r="AA7" s="125" t="s">
        <v>95</v>
      </c>
      <c r="AB7" s="125"/>
      <c r="AC7" s="123" t="s">
        <v>100</v>
      </c>
      <c r="AD7" s="125"/>
      <c r="AE7" s="124" t="s">
        <v>93</v>
      </c>
      <c r="AF7" s="125"/>
      <c r="AG7" s="123" t="s">
        <v>99</v>
      </c>
      <c r="AH7" s="295"/>
      <c r="AI7" s="124" t="s">
        <v>93</v>
      </c>
      <c r="AJ7" s="125"/>
      <c r="AK7" s="123" t="s">
        <v>99</v>
      </c>
      <c r="AL7" s="295"/>
      <c r="AM7" s="124" t="s">
        <v>93</v>
      </c>
      <c r="AN7" s="295"/>
      <c r="AO7" s="123" t="s">
        <v>99</v>
      </c>
      <c r="AP7" s="295"/>
      <c r="AQ7" s="296"/>
      <c r="AR7" s="295"/>
      <c r="AS7" s="297"/>
      <c r="AT7" s="295"/>
      <c r="AU7" s="298" t="s">
        <v>88</v>
      </c>
      <c r="AV7" s="139"/>
      <c r="AW7" s="299" t="s">
        <v>89</v>
      </c>
      <c r="AX7" s="139"/>
      <c r="AY7" s="299" t="s">
        <v>90</v>
      </c>
      <c r="AZ7" s="139"/>
      <c r="BA7" s="299" t="s">
        <v>89</v>
      </c>
      <c r="BB7" s="139"/>
      <c r="BC7" s="299" t="s">
        <v>89</v>
      </c>
      <c r="BD7" s="139"/>
      <c r="BE7" s="300" t="s">
        <v>89</v>
      </c>
      <c r="BF7" s="295"/>
      <c r="BG7" s="301"/>
      <c r="BH7" s="302"/>
      <c r="BI7" s="302"/>
      <c r="BJ7" s="302"/>
      <c r="BK7" s="302"/>
      <c r="BL7" s="302"/>
      <c r="BM7" s="302"/>
      <c r="BN7" s="302"/>
      <c r="BO7" s="302"/>
      <c r="BP7" s="302"/>
      <c r="BQ7" s="302"/>
      <c r="BR7" s="302"/>
      <c r="BS7" s="302"/>
      <c r="BT7" s="302"/>
      <c r="BU7" s="302"/>
      <c r="BV7" s="302"/>
      <c r="BW7" s="302"/>
      <c r="BX7" s="302"/>
      <c r="BY7" s="302"/>
      <c r="BZ7" s="302"/>
      <c r="CA7" s="302"/>
      <c r="CB7" s="302"/>
      <c r="CC7" s="302"/>
      <c r="CD7" s="302"/>
      <c r="CE7" s="302"/>
      <c r="CF7" s="302"/>
      <c r="CG7" s="302"/>
      <c r="CH7" s="302"/>
      <c r="CI7" s="302"/>
      <c r="CJ7" s="302"/>
      <c r="CK7" s="302"/>
      <c r="CL7" s="302"/>
      <c r="CM7" s="302"/>
      <c r="CN7" s="302"/>
      <c r="CO7" s="302"/>
      <c r="CP7" s="302"/>
      <c r="CQ7" s="302"/>
      <c r="CR7" s="302"/>
      <c r="CS7" s="302"/>
      <c r="CT7" s="303"/>
      <c r="CU7" s="303"/>
      <c r="CV7" s="303"/>
      <c r="CW7" s="303"/>
      <c r="CX7" s="303"/>
      <c r="CY7" s="303"/>
      <c r="CZ7" s="303"/>
      <c r="DA7" s="303"/>
      <c r="DB7" s="303"/>
      <c r="DC7" s="303"/>
      <c r="DD7" s="303"/>
      <c r="DE7" s="303"/>
      <c r="DF7" s="303"/>
      <c r="DG7" s="303"/>
      <c r="DH7" s="303"/>
      <c r="DI7" s="303"/>
      <c r="DJ7" s="303"/>
      <c r="DK7" s="303"/>
      <c r="DL7" s="303"/>
      <c r="DM7" s="303"/>
      <c r="DN7" s="303"/>
      <c r="DO7" s="303"/>
      <c r="DP7" s="303"/>
      <c r="DQ7" s="303"/>
      <c r="DR7" s="303"/>
      <c r="DS7" s="303"/>
      <c r="DT7" s="303"/>
      <c r="DU7" s="303"/>
      <c r="DV7" s="303"/>
      <c r="DW7" s="303"/>
      <c r="DX7" s="303"/>
      <c r="DY7" s="303"/>
      <c r="DZ7" s="303"/>
      <c r="EA7" s="303"/>
      <c r="EB7" s="303"/>
      <c r="EC7" s="303"/>
      <c r="ED7" s="303"/>
      <c r="EE7" s="303"/>
      <c r="EF7" s="303"/>
      <c r="EG7" s="303"/>
      <c r="EH7" s="303"/>
      <c r="EI7" s="303"/>
      <c r="EJ7" s="303"/>
      <c r="EK7" s="303"/>
      <c r="EL7" s="303"/>
      <c r="EM7" s="303"/>
      <c r="EN7" s="303"/>
      <c r="EO7" s="303"/>
      <c r="EP7" s="303"/>
      <c r="EQ7" s="303"/>
      <c r="ER7" s="303"/>
      <c r="ES7" s="303"/>
      <c r="ET7" s="303"/>
      <c r="EU7" s="303"/>
    </row>
    <row r="8" spans="1:151" s="293" customFormat="1" ht="15.75" thickBot="1" x14ac:dyDescent="0.3">
      <c r="A8" s="277"/>
      <c r="C8" s="327"/>
      <c r="D8" s="328"/>
      <c r="E8" s="328"/>
      <c r="F8" s="328"/>
      <c r="G8" s="329"/>
      <c r="H8" s="328"/>
      <c r="I8" s="328"/>
      <c r="J8" s="328"/>
      <c r="K8" s="328"/>
      <c r="L8" s="328"/>
      <c r="M8" s="328"/>
      <c r="N8" s="328"/>
      <c r="O8" s="329"/>
      <c r="P8" s="330"/>
      <c r="Q8" s="331"/>
      <c r="R8" s="125"/>
      <c r="S8" s="327"/>
      <c r="T8" s="328"/>
      <c r="U8" s="328"/>
      <c r="V8" s="328"/>
      <c r="W8" s="328"/>
      <c r="X8" s="328"/>
      <c r="Y8" s="328"/>
      <c r="Z8" s="328"/>
      <c r="AA8" s="328"/>
      <c r="AB8" s="328"/>
      <c r="AC8" s="331" t="s">
        <v>101</v>
      </c>
      <c r="AD8" s="125"/>
      <c r="AE8" s="327"/>
      <c r="AF8" s="328"/>
      <c r="AG8" s="331"/>
      <c r="AH8" s="295"/>
      <c r="AI8" s="327"/>
      <c r="AJ8" s="328"/>
      <c r="AK8" s="331"/>
      <c r="AL8" s="295"/>
      <c r="AM8" s="337"/>
      <c r="AN8" s="330"/>
      <c r="AO8" s="338"/>
      <c r="AP8" s="295"/>
      <c r="AQ8" s="337"/>
      <c r="AR8" s="330"/>
      <c r="AS8" s="346"/>
      <c r="AT8" s="295"/>
      <c r="AU8" s="347"/>
      <c r="AV8" s="348"/>
      <c r="AW8" s="349"/>
      <c r="AX8" s="348"/>
      <c r="AY8" s="349"/>
      <c r="AZ8" s="348"/>
      <c r="BA8" s="349"/>
      <c r="BB8" s="348"/>
      <c r="BC8" s="349"/>
      <c r="BD8" s="348"/>
      <c r="BE8" s="350"/>
      <c r="BF8" s="295"/>
      <c r="BG8" s="301"/>
      <c r="BH8" s="302"/>
      <c r="BI8" s="302"/>
      <c r="BJ8" s="302"/>
      <c r="BK8" s="302"/>
      <c r="BL8" s="302"/>
      <c r="BM8" s="302"/>
      <c r="BN8" s="302"/>
      <c r="BO8" s="302"/>
      <c r="BP8" s="302"/>
      <c r="BQ8" s="302"/>
      <c r="BR8" s="302"/>
      <c r="BS8" s="302"/>
      <c r="BT8" s="302"/>
      <c r="BU8" s="302"/>
      <c r="BV8" s="302"/>
      <c r="BW8" s="302"/>
      <c r="BX8" s="302"/>
      <c r="BY8" s="302"/>
      <c r="BZ8" s="302"/>
      <c r="CA8" s="302"/>
      <c r="CB8" s="302"/>
      <c r="CC8" s="302"/>
      <c r="CD8" s="302"/>
      <c r="CE8" s="302"/>
      <c r="CF8" s="302"/>
      <c r="CG8" s="302"/>
      <c r="CH8" s="302"/>
      <c r="CI8" s="302"/>
      <c r="CJ8" s="302"/>
      <c r="CK8" s="302"/>
      <c r="CL8" s="302"/>
      <c r="CM8" s="302"/>
      <c r="CN8" s="302"/>
      <c r="CO8" s="302"/>
      <c r="CP8" s="302"/>
      <c r="CQ8" s="302"/>
      <c r="CR8" s="302"/>
      <c r="CS8" s="302"/>
      <c r="CT8" s="303"/>
      <c r="CU8" s="303"/>
      <c r="CV8" s="303"/>
      <c r="CW8" s="303"/>
      <c r="CX8" s="303"/>
      <c r="CY8" s="303"/>
      <c r="CZ8" s="303"/>
      <c r="DA8" s="303"/>
      <c r="DB8" s="303"/>
      <c r="DC8" s="303"/>
      <c r="DD8" s="303"/>
      <c r="DE8" s="303"/>
      <c r="DF8" s="303"/>
      <c r="DG8" s="303"/>
      <c r="DH8" s="303"/>
      <c r="DI8" s="303"/>
      <c r="DJ8" s="303"/>
      <c r="DK8" s="303"/>
      <c r="DL8" s="303"/>
      <c r="DM8" s="303"/>
      <c r="DN8" s="303"/>
      <c r="DO8" s="303"/>
      <c r="DP8" s="303"/>
      <c r="DQ8" s="303"/>
      <c r="DR8" s="303"/>
      <c r="DS8" s="303"/>
      <c r="DT8" s="303"/>
      <c r="DU8" s="303"/>
      <c r="DV8" s="303"/>
      <c r="DW8" s="303"/>
      <c r="DX8" s="303"/>
      <c r="DY8" s="303"/>
      <c r="DZ8" s="303"/>
      <c r="EA8" s="303"/>
      <c r="EB8" s="303"/>
      <c r="EC8" s="303"/>
      <c r="ED8" s="303"/>
      <c r="EE8" s="303"/>
      <c r="EF8" s="303"/>
      <c r="EG8" s="303"/>
      <c r="EH8" s="303"/>
      <c r="EI8" s="303"/>
      <c r="EJ8" s="303"/>
      <c r="EK8" s="303"/>
      <c r="EL8" s="303"/>
      <c r="EM8" s="303"/>
      <c r="EN8" s="303"/>
      <c r="EO8" s="303"/>
      <c r="EP8" s="303"/>
      <c r="EQ8" s="303"/>
      <c r="ER8" s="303"/>
      <c r="ES8" s="303"/>
      <c r="ET8" s="303"/>
      <c r="EU8" s="303"/>
    </row>
    <row r="9" spans="1:151" x14ac:dyDescent="0.2">
      <c r="A9" s="36" t="s">
        <v>1</v>
      </c>
      <c r="C9" s="25">
        <f>+Absecon!C18</f>
        <v>1758</v>
      </c>
      <c r="D9" s="27"/>
      <c r="E9" s="25">
        <f>+Absecon!E18</f>
        <v>1346</v>
      </c>
      <c r="F9" s="27"/>
      <c r="G9" s="25">
        <f>+Absecon!G18</f>
        <v>54</v>
      </c>
      <c r="H9" s="27"/>
      <c r="I9" s="25">
        <f>+Absecon!I18</f>
        <v>17</v>
      </c>
      <c r="J9" s="27"/>
      <c r="K9" s="25">
        <f>+Absecon!K18</f>
        <v>24</v>
      </c>
      <c r="L9" s="27"/>
      <c r="M9" s="25">
        <f>+Absecon!M18</f>
        <v>28</v>
      </c>
      <c r="N9" s="27"/>
      <c r="O9" s="25">
        <f>+Absecon!O18</f>
        <v>6</v>
      </c>
      <c r="P9" s="27"/>
      <c r="Q9" s="25">
        <f>+Absecon!Q18</f>
        <v>3</v>
      </c>
      <c r="R9" s="27"/>
      <c r="S9" s="25">
        <f>+Absecon!S18</f>
        <v>1481</v>
      </c>
      <c r="T9" s="27"/>
      <c r="U9" s="25">
        <f>+Absecon!U18</f>
        <v>1690</v>
      </c>
      <c r="V9" s="27"/>
      <c r="W9" s="25">
        <f>+Absecon!W18</f>
        <v>22</v>
      </c>
      <c r="X9" s="27"/>
      <c r="Y9" s="25">
        <f>+Absecon!Y18</f>
        <v>10</v>
      </c>
      <c r="Z9" s="27"/>
      <c r="AA9" s="25">
        <f>+Absecon!AA18</f>
        <v>21</v>
      </c>
      <c r="AB9" s="27"/>
      <c r="AC9" s="25">
        <f>+Absecon!AC18</f>
        <v>8</v>
      </c>
      <c r="AD9" s="27"/>
      <c r="AE9" s="25">
        <f>+Absecon!AE18</f>
        <v>1820</v>
      </c>
      <c r="AF9" s="27"/>
      <c r="AG9" s="25">
        <f>+Absecon!AG18</f>
        <v>1385</v>
      </c>
      <c r="AH9" s="27"/>
      <c r="AI9" s="25"/>
      <c r="AJ9" s="27"/>
      <c r="AK9" s="25"/>
      <c r="AL9" s="27"/>
      <c r="AM9" s="25"/>
      <c r="AN9" s="27"/>
      <c r="AO9" s="25"/>
      <c r="AP9" s="27"/>
      <c r="AQ9" s="25">
        <f>+Absecon!AW18</f>
        <v>1304</v>
      </c>
      <c r="AR9" s="27"/>
      <c r="AS9" s="25">
        <f>+Absecon!AY18</f>
        <v>1581</v>
      </c>
      <c r="AT9" s="27"/>
      <c r="AU9" s="55">
        <f>3405+3053</f>
        <v>6458</v>
      </c>
      <c r="AV9" s="27"/>
      <c r="AW9" s="25">
        <f>+Absecon!BA18</f>
        <v>3294</v>
      </c>
      <c r="AX9" s="27"/>
      <c r="AY9" s="25">
        <f>+Absecon!BC18</f>
        <v>352</v>
      </c>
      <c r="AZ9" s="27"/>
      <c r="BA9" s="25">
        <f>+Absecon!BE18</f>
        <v>78</v>
      </c>
      <c r="BB9" s="27"/>
      <c r="BC9" s="25">
        <f>+Absecon!BG11</f>
        <v>0</v>
      </c>
      <c r="BD9" s="27"/>
      <c r="BE9" s="25">
        <f>+SUM(AW9:BC9)</f>
        <v>3724</v>
      </c>
      <c r="BF9" s="26"/>
      <c r="BG9" s="254">
        <f>+BE9/AU9</f>
        <v>0.57664911737379998</v>
      </c>
      <c r="BH9" s="26"/>
      <c r="BI9" s="26"/>
      <c r="CT9" s="1"/>
      <c r="CU9" s="1"/>
    </row>
    <row r="10" spans="1:151" x14ac:dyDescent="0.2">
      <c r="A10" s="36" t="s">
        <v>2</v>
      </c>
      <c r="C10" s="28">
        <f>+'Atlantic City'!C33</f>
        <v>1439</v>
      </c>
      <c r="D10" s="27"/>
      <c r="E10" s="28">
        <f>+'Atlantic City'!E33</f>
        <v>4627</v>
      </c>
      <c r="F10" s="27"/>
      <c r="G10" s="28">
        <f>+'Atlantic City'!G33</f>
        <v>146</v>
      </c>
      <c r="H10" s="27"/>
      <c r="I10" s="28">
        <f>+'Atlantic City'!I33</f>
        <v>56</v>
      </c>
      <c r="J10" s="27"/>
      <c r="K10" s="28">
        <f>+'Atlantic City'!K33</f>
        <v>30</v>
      </c>
      <c r="L10" s="27"/>
      <c r="M10" s="447">
        <f>+'Atlantic City'!M33</f>
        <v>34</v>
      </c>
      <c r="N10" s="27"/>
      <c r="O10" s="447">
        <f>+'Atlantic City'!O33</f>
        <v>15</v>
      </c>
      <c r="P10" s="27"/>
      <c r="Q10" s="28">
        <f>+'Atlantic City'!Q33</f>
        <v>6</v>
      </c>
      <c r="R10" s="27"/>
      <c r="S10" s="28">
        <f>+'Atlantic City'!S33</f>
        <v>1229</v>
      </c>
      <c r="T10" s="27"/>
      <c r="U10" s="28">
        <f>+'Atlantic City'!U33</f>
        <v>4818</v>
      </c>
      <c r="V10" s="27"/>
      <c r="W10" s="28">
        <f>+'Atlantic City'!W33</f>
        <v>52</v>
      </c>
      <c r="X10" s="27"/>
      <c r="Y10" s="28">
        <f>+'Atlantic City'!Y33</f>
        <v>53</v>
      </c>
      <c r="Z10" s="27"/>
      <c r="AA10" s="28">
        <f>+'Atlantic City'!AA33</f>
        <v>15</v>
      </c>
      <c r="AB10" s="27"/>
      <c r="AC10" s="28">
        <f>+'Atlantic City'!AC33</f>
        <v>38</v>
      </c>
      <c r="AD10" s="27"/>
      <c r="AE10" s="28">
        <f>+'Atlantic City'!AE33</f>
        <v>1523</v>
      </c>
      <c r="AF10" s="27"/>
      <c r="AG10" s="28">
        <f>+'Atlantic City'!AG33</f>
        <v>4440</v>
      </c>
      <c r="AH10" s="27"/>
      <c r="AI10" s="28">
        <f>+'Atlantic City'!AI33</f>
        <v>530</v>
      </c>
      <c r="AJ10" s="27"/>
      <c r="AK10" s="28">
        <f>+'Atlantic City'!AK33</f>
        <v>711</v>
      </c>
      <c r="AL10" s="27"/>
      <c r="AM10" s="28"/>
      <c r="AN10" s="27"/>
      <c r="AO10" s="28"/>
      <c r="AP10" s="27"/>
      <c r="AQ10" s="28">
        <f>+'Atlantic City'!AY33</f>
        <v>2446</v>
      </c>
      <c r="AR10" s="27"/>
      <c r="AS10" s="28">
        <f>+'Atlantic City'!BA33</f>
        <v>1136</v>
      </c>
      <c r="AT10" s="27"/>
      <c r="AU10" s="32">
        <f>4138+4323+4449+3200+2822+4001</f>
        <v>22933</v>
      </c>
      <c r="AV10" s="27"/>
      <c r="AW10" s="28">
        <f>+'Atlantic City'!BC33</f>
        <v>6689</v>
      </c>
      <c r="AX10" s="27"/>
      <c r="AY10" s="28">
        <f>+'Atlantic City'!BE33</f>
        <v>1769</v>
      </c>
      <c r="AZ10" s="27"/>
      <c r="BA10" s="28">
        <f>+'Atlantic City'!BG33</f>
        <v>318</v>
      </c>
      <c r="BB10" s="27"/>
      <c r="BC10" s="28">
        <f>+'Atlantic City'!BI33</f>
        <v>0</v>
      </c>
      <c r="BD10" s="27"/>
      <c r="BE10" s="28">
        <f t="shared" ref="BE10:BE31" si="0">+SUM(AW10:BC10)</f>
        <v>8776</v>
      </c>
      <c r="BF10" s="26"/>
      <c r="BG10" s="254">
        <f t="shared" ref="BG10:BG33" si="1">+BE10/AU10</f>
        <v>0.3826799808136746</v>
      </c>
      <c r="BH10" s="26"/>
      <c r="BI10" s="26"/>
      <c r="CT10" s="1"/>
      <c r="CU10" s="1"/>
    </row>
    <row r="11" spans="1:151" x14ac:dyDescent="0.2">
      <c r="A11" s="36" t="s">
        <v>3</v>
      </c>
      <c r="C11" s="28">
        <f>+Brigantine!C16</f>
        <v>2135</v>
      </c>
      <c r="D11" s="27"/>
      <c r="E11" s="28">
        <f>+Brigantine!E16</f>
        <v>1173</v>
      </c>
      <c r="F11" s="27"/>
      <c r="G11" s="28">
        <f>+Brigantine!G16</f>
        <v>41</v>
      </c>
      <c r="H11" s="27"/>
      <c r="I11" s="28">
        <f>+Brigantine!I16</f>
        <v>10</v>
      </c>
      <c r="J11" s="27"/>
      <c r="K11" s="28">
        <f>+Brigantine!K16</f>
        <v>15</v>
      </c>
      <c r="L11" s="27"/>
      <c r="M11" s="28">
        <f>+Brigantine!M16</f>
        <v>27</v>
      </c>
      <c r="N11" s="27"/>
      <c r="O11" s="28">
        <f>+Brigantine!O16</f>
        <v>7</v>
      </c>
      <c r="P11" s="27"/>
      <c r="Q11" s="28">
        <f>+Brigantine!Q16</f>
        <v>2</v>
      </c>
      <c r="R11" s="27"/>
      <c r="S11" s="28">
        <f>+Brigantine!S16</f>
        <v>1885</v>
      </c>
      <c r="T11" s="27"/>
      <c r="U11" s="28">
        <f>+Brigantine!U16</f>
        <v>1480</v>
      </c>
      <c r="V11" s="27"/>
      <c r="W11" s="28">
        <f>+Brigantine!W16</f>
        <v>9</v>
      </c>
      <c r="X11" s="27"/>
      <c r="Y11" s="28">
        <f>+Brigantine!Y16</f>
        <v>3</v>
      </c>
      <c r="Z11" s="27"/>
      <c r="AA11" s="28">
        <f>+Brigantine!AA16</f>
        <v>10</v>
      </c>
      <c r="AB11" s="27"/>
      <c r="AC11" s="28">
        <f>+Brigantine!AC16</f>
        <v>8</v>
      </c>
      <c r="AD11" s="27"/>
      <c r="AE11" s="28">
        <f>+Brigantine!AE16</f>
        <v>2165</v>
      </c>
      <c r="AF11" s="27"/>
      <c r="AG11" s="28">
        <f>+Brigantine!AG16</f>
        <v>1188</v>
      </c>
      <c r="AH11" s="27"/>
      <c r="AI11" s="28"/>
      <c r="AJ11" s="27"/>
      <c r="AK11" s="28"/>
      <c r="AL11" s="27"/>
      <c r="AM11" s="28"/>
      <c r="AN11" s="27"/>
      <c r="AO11" s="28"/>
      <c r="AP11" s="27"/>
      <c r="AQ11" s="28">
        <f>+Brigantine!AU16</f>
        <v>1303</v>
      </c>
      <c r="AR11" s="27"/>
      <c r="AS11" s="28">
        <f>+Brigantine!AW16</f>
        <v>1596</v>
      </c>
      <c r="AT11" s="27"/>
      <c r="AU11" s="32">
        <f>1801+1582+1752+1687</f>
        <v>6822</v>
      </c>
      <c r="AV11" s="27"/>
      <c r="AW11" s="28">
        <f>+Brigantine!AY16</f>
        <v>3489</v>
      </c>
      <c r="AX11" s="27"/>
      <c r="AY11" s="28">
        <f>+Brigantine!BA16</f>
        <v>521</v>
      </c>
      <c r="AZ11" s="27"/>
      <c r="BA11" s="28">
        <f>+Brigantine!BC16</f>
        <v>82</v>
      </c>
      <c r="BB11" s="27"/>
      <c r="BC11" s="28">
        <f>+Brigantine!BE16</f>
        <v>0</v>
      </c>
      <c r="BD11" s="27"/>
      <c r="BE11" s="28">
        <f t="shared" si="0"/>
        <v>4092</v>
      </c>
      <c r="BF11" s="26"/>
      <c r="BG11" s="254">
        <f t="shared" si="1"/>
        <v>0.59982409850483731</v>
      </c>
      <c r="BH11" s="26"/>
      <c r="BI11" s="26"/>
      <c r="CT11" s="1"/>
      <c r="CU11" s="1"/>
    </row>
    <row r="12" spans="1:151" x14ac:dyDescent="0.2">
      <c r="A12" s="36" t="s">
        <v>4</v>
      </c>
      <c r="C12" s="28">
        <f>+'Buena Borough'!C14</f>
        <v>676</v>
      </c>
      <c r="D12" s="27"/>
      <c r="E12" s="28">
        <f>+'Buena Borough'!E14</f>
        <v>524</v>
      </c>
      <c r="F12" s="27"/>
      <c r="G12" s="28">
        <f>+'Buena Borough'!G14</f>
        <v>30</v>
      </c>
      <c r="H12" s="27"/>
      <c r="I12" s="28">
        <f>+'Buena Borough'!I14</f>
        <v>3</v>
      </c>
      <c r="J12" s="27"/>
      <c r="K12" s="28">
        <f>+'Buena Borough'!K14</f>
        <v>9</v>
      </c>
      <c r="L12" s="27"/>
      <c r="M12" s="28">
        <f>+'Buena Borough'!M14</f>
        <v>9</v>
      </c>
      <c r="N12" s="27"/>
      <c r="O12" s="28">
        <f>+'Buena Borough'!O14</f>
        <v>7</v>
      </c>
      <c r="P12" s="27"/>
      <c r="Q12" s="28">
        <f>+'Buena Borough'!Q14</f>
        <v>1</v>
      </c>
      <c r="R12" s="27"/>
      <c r="S12" s="28">
        <f>+'Buena Borough'!S14</f>
        <v>580</v>
      </c>
      <c r="T12" s="27"/>
      <c r="U12" s="28">
        <f>+'Buena Borough'!U14</f>
        <v>658</v>
      </c>
      <c r="V12" s="27"/>
      <c r="W12" s="28">
        <f>+'Buena Borough'!W14</f>
        <v>10</v>
      </c>
      <c r="X12" s="27"/>
      <c r="Y12" s="28">
        <f>+'Buena Borough'!Y14</f>
        <v>4</v>
      </c>
      <c r="Z12" s="27"/>
      <c r="AA12" s="28">
        <f>+'Buena Borough'!AA14</f>
        <v>4</v>
      </c>
      <c r="AB12" s="27"/>
      <c r="AC12" s="28">
        <f>+'Buena Borough'!AC14</f>
        <v>7</v>
      </c>
      <c r="AD12" s="27"/>
      <c r="AE12" s="28">
        <f>+'Buena Borough'!AE14</f>
        <v>680</v>
      </c>
      <c r="AF12" s="27"/>
      <c r="AG12" s="28">
        <f>+'Buena Borough'!AG14</f>
        <v>551</v>
      </c>
      <c r="AH12" s="27"/>
      <c r="AI12" s="28"/>
      <c r="AJ12" s="27"/>
      <c r="AK12" s="28"/>
      <c r="AL12" s="27"/>
      <c r="AM12" s="28">
        <f>+'Buena Borough'!AI14</f>
        <v>692</v>
      </c>
      <c r="AN12" s="27"/>
      <c r="AO12" s="28">
        <f>+'Buena Borough'!AK14</f>
        <v>538</v>
      </c>
      <c r="AP12" s="27"/>
      <c r="AQ12" s="28">
        <f>+'Buena Borough'!AU14</f>
        <v>375</v>
      </c>
      <c r="AR12" s="27"/>
      <c r="AS12" s="28">
        <f>+'Buena Borough'!AW14</f>
        <v>542</v>
      </c>
      <c r="AT12" s="27"/>
      <c r="AU12" s="32">
        <v>3005</v>
      </c>
      <c r="AV12" s="27"/>
      <c r="AW12" s="28">
        <f>+'Buena Borough'!AY14</f>
        <v>1291</v>
      </c>
      <c r="AX12" s="27"/>
      <c r="AY12" s="28">
        <f>+'Buena Borough'!BA14</f>
        <v>115</v>
      </c>
      <c r="AZ12" s="27"/>
      <c r="BA12" s="28">
        <f>+'Buena Borough'!BC14</f>
        <v>12</v>
      </c>
      <c r="BB12" s="27"/>
      <c r="BC12" s="28">
        <f>+'Buena Borough'!BE14</f>
        <v>0</v>
      </c>
      <c r="BD12" s="27"/>
      <c r="BE12" s="28">
        <f t="shared" si="0"/>
        <v>1418</v>
      </c>
      <c r="BF12" s="26"/>
      <c r="BG12" s="254">
        <f t="shared" si="1"/>
        <v>0.47188019966722128</v>
      </c>
      <c r="BH12" s="26"/>
      <c r="BI12" s="26"/>
      <c r="CT12" s="1"/>
      <c r="CU12" s="1"/>
    </row>
    <row r="13" spans="1:151" x14ac:dyDescent="0.2">
      <c r="A13" s="36" t="s">
        <v>5</v>
      </c>
      <c r="C13" s="28">
        <f>+'Buena Vista'!C16</f>
        <v>1357</v>
      </c>
      <c r="D13" s="27"/>
      <c r="E13" s="28">
        <f>+'Buena Vista'!E16</f>
        <v>957</v>
      </c>
      <c r="F13" s="27"/>
      <c r="G13" s="28">
        <f>+'Buena Vista'!G16</f>
        <v>34</v>
      </c>
      <c r="H13" s="27"/>
      <c r="I13" s="28">
        <f>+'Buena Vista'!I16</f>
        <v>12</v>
      </c>
      <c r="J13" s="27"/>
      <c r="K13" s="28">
        <f>+'Buena Vista'!K16</f>
        <v>21</v>
      </c>
      <c r="L13" s="27"/>
      <c r="M13" s="28">
        <f>+'Buena Vista'!M16</f>
        <v>17</v>
      </c>
      <c r="N13" s="27"/>
      <c r="O13" s="28">
        <f>+'Buena Vista'!O16</f>
        <v>3</v>
      </c>
      <c r="P13" s="27"/>
      <c r="Q13" s="28">
        <f>+'Buena Vista'!Q16</f>
        <v>6</v>
      </c>
      <c r="R13" s="27"/>
      <c r="S13" s="28">
        <f>+'Buena Vista'!S16</f>
        <v>1139</v>
      </c>
      <c r="T13" s="27"/>
      <c r="U13" s="28">
        <f>+'Buena Vista'!U16</f>
        <v>1243</v>
      </c>
      <c r="V13" s="27"/>
      <c r="W13" s="28">
        <f>+'Buena Vista'!W16</f>
        <v>5</v>
      </c>
      <c r="X13" s="27"/>
      <c r="Y13" s="28">
        <f>+'Buena Vista'!Y16</f>
        <v>7</v>
      </c>
      <c r="Z13" s="27"/>
      <c r="AA13" s="28">
        <f>+'Buena Vista'!AA16</f>
        <v>16</v>
      </c>
      <c r="AB13" s="27"/>
      <c r="AC13" s="28">
        <f>+'Buena Vista'!AC16</f>
        <v>9</v>
      </c>
      <c r="AD13" s="27"/>
      <c r="AE13" s="28">
        <f>+'Buena Vista'!AE16</f>
        <v>1308</v>
      </c>
      <c r="AF13" s="27"/>
      <c r="AG13" s="28">
        <f>+'Buena Vista'!AG16</f>
        <v>1058</v>
      </c>
      <c r="AH13" s="27"/>
      <c r="AI13" s="28"/>
      <c r="AJ13" s="27"/>
      <c r="AK13" s="28"/>
      <c r="AL13" s="27"/>
      <c r="AM13" s="28">
        <f>+'Buena Vista'!AI16</f>
        <v>1297</v>
      </c>
      <c r="AN13" s="27"/>
      <c r="AO13" s="28">
        <f>+'Buena Vista'!AK16</f>
        <v>1068</v>
      </c>
      <c r="AP13" s="27"/>
      <c r="AQ13" s="447">
        <f>+'Buena Vista'!BG16</f>
        <v>795</v>
      </c>
      <c r="AR13" s="49"/>
      <c r="AS13" s="447">
        <f>+'Buena Vista'!BI16</f>
        <v>1209</v>
      </c>
      <c r="AT13" s="27"/>
      <c r="AU13" s="32">
        <v>5260</v>
      </c>
      <c r="AV13" s="27"/>
      <c r="AW13" s="28">
        <f>+'Buena Vista'!BK16</f>
        <v>2466</v>
      </c>
      <c r="AX13" s="27"/>
      <c r="AY13" s="28">
        <f>+'Buena Vista'!BM16</f>
        <v>263</v>
      </c>
      <c r="AZ13" s="27"/>
      <c r="BA13" s="28">
        <f>+'Buena Vista'!BO16</f>
        <v>49</v>
      </c>
      <c r="BB13" s="27"/>
      <c r="BC13" s="28">
        <f>+'Buena Vista'!BQ16</f>
        <v>0</v>
      </c>
      <c r="BD13" s="27"/>
      <c r="BE13" s="28">
        <f t="shared" si="0"/>
        <v>2778</v>
      </c>
      <c r="BF13" s="26"/>
      <c r="BG13" s="254">
        <f t="shared" si="1"/>
        <v>0.52813688212927756</v>
      </c>
      <c r="BH13" s="26"/>
      <c r="BI13" s="26"/>
      <c r="CT13" s="1"/>
      <c r="CU13" s="1"/>
    </row>
    <row r="14" spans="1:151" x14ac:dyDescent="0.2">
      <c r="A14" s="36" t="s">
        <v>6</v>
      </c>
      <c r="C14" s="28">
        <f>+'Corbin City'!C13</f>
        <v>130</v>
      </c>
      <c r="D14" s="27"/>
      <c r="E14" s="28">
        <f>+'Corbin City'!E13</f>
        <v>60</v>
      </c>
      <c r="F14" s="27"/>
      <c r="G14" s="28">
        <f>+'Corbin City'!G13</f>
        <v>1</v>
      </c>
      <c r="H14" s="27"/>
      <c r="I14" s="28">
        <f>+'Corbin City'!I13</f>
        <v>1</v>
      </c>
      <c r="J14" s="27"/>
      <c r="K14" s="28">
        <f>+'Corbin City'!K13</f>
        <v>1</v>
      </c>
      <c r="L14" s="27"/>
      <c r="M14" s="28">
        <f>+'Corbin City'!M13</f>
        <v>3</v>
      </c>
      <c r="N14" s="27"/>
      <c r="O14" s="28">
        <f>+'Corbin City'!O13</f>
        <v>3</v>
      </c>
      <c r="P14" s="27"/>
      <c r="Q14" s="28">
        <f>+'Corbin City'!Q13</f>
        <v>0</v>
      </c>
      <c r="R14" s="27"/>
      <c r="S14" s="28">
        <f>+'Corbin City'!S13</f>
        <v>108</v>
      </c>
      <c r="T14" s="27"/>
      <c r="U14" s="28">
        <f>+'Corbin City'!U13</f>
        <v>96</v>
      </c>
      <c r="V14" s="27"/>
      <c r="W14" s="28">
        <f>+'Corbin City'!W13</f>
        <v>0</v>
      </c>
      <c r="X14" s="27"/>
      <c r="Y14" s="28">
        <f>+'Corbin City'!Y13</f>
        <v>0</v>
      </c>
      <c r="Z14" s="27"/>
      <c r="AA14" s="28">
        <f>+'Corbin City'!AA13</f>
        <v>0</v>
      </c>
      <c r="AB14" s="27"/>
      <c r="AC14" s="28">
        <f>+'Corbin City'!AC13</f>
        <v>0</v>
      </c>
      <c r="AD14" s="27"/>
      <c r="AE14" s="28">
        <f>+'Corbin City'!AE13</f>
        <v>125</v>
      </c>
      <c r="AF14" s="27"/>
      <c r="AG14" s="28">
        <f>+'Corbin City'!AG13</f>
        <v>72</v>
      </c>
      <c r="AH14" s="27"/>
      <c r="AI14" s="28"/>
      <c r="AJ14" s="27"/>
      <c r="AK14" s="28"/>
      <c r="AL14" s="27"/>
      <c r="AM14" s="28">
        <f>+'Corbin City'!AI13</f>
        <v>125</v>
      </c>
      <c r="AN14" s="27"/>
      <c r="AO14" s="28">
        <f>+'Corbin City'!AK13</f>
        <v>71</v>
      </c>
      <c r="AP14" s="27"/>
      <c r="AQ14" s="447">
        <f>+'Corbin City'!AU13</f>
        <v>73</v>
      </c>
      <c r="AR14" s="49"/>
      <c r="AS14" s="447">
        <f>+'Corbin City'!AW13</f>
        <v>109</v>
      </c>
      <c r="AT14" s="27"/>
      <c r="AU14" s="32">
        <v>354</v>
      </c>
      <c r="AV14" s="27"/>
      <c r="AW14" s="32">
        <f>+'Corbin City'!AY11</f>
        <v>206</v>
      </c>
      <c r="AX14" s="27"/>
      <c r="AY14" s="32">
        <f>+'Corbin City'!BA11</f>
        <v>25</v>
      </c>
      <c r="AZ14" s="27"/>
      <c r="BA14" s="32">
        <f>+'Corbin City'!BC11</f>
        <v>6</v>
      </c>
      <c r="BB14" s="27"/>
      <c r="BC14" s="32">
        <f>+'Corbin City'!BE11</f>
        <v>0</v>
      </c>
      <c r="BD14" s="27"/>
      <c r="BE14" s="28">
        <f t="shared" si="0"/>
        <v>237</v>
      </c>
      <c r="BF14" s="26"/>
      <c r="BG14" s="254">
        <f t="shared" si="1"/>
        <v>0.66949152542372881</v>
      </c>
      <c r="BH14" s="26"/>
      <c r="BI14" s="26"/>
      <c r="CT14" s="1"/>
      <c r="CU14" s="1"/>
    </row>
    <row r="15" spans="1:151" x14ac:dyDescent="0.2">
      <c r="A15" s="36" t="s">
        <v>7</v>
      </c>
      <c r="C15" s="28">
        <f>+'Egg Harbor City'!C18</f>
        <v>589</v>
      </c>
      <c r="D15" s="27"/>
      <c r="E15" s="28">
        <f>+'Egg Harbor City'!E18</f>
        <v>554</v>
      </c>
      <c r="F15" s="27"/>
      <c r="G15" s="28">
        <f>+'Egg Harbor City'!G18</f>
        <v>30</v>
      </c>
      <c r="H15" s="27"/>
      <c r="I15" s="28">
        <f>+'Egg Harbor City'!I18</f>
        <v>6</v>
      </c>
      <c r="J15" s="27"/>
      <c r="K15" s="28">
        <f>+'Egg Harbor City'!K18</f>
        <v>8</v>
      </c>
      <c r="L15" s="27"/>
      <c r="M15" s="28">
        <f>+'Egg Harbor City'!M18</f>
        <v>11</v>
      </c>
      <c r="N15" s="27"/>
      <c r="O15" s="28">
        <f>+'Egg Harbor City'!O18</f>
        <v>2</v>
      </c>
      <c r="P15" s="27"/>
      <c r="Q15" s="28">
        <f>+'Egg Harbor City'!Q18</f>
        <v>4</v>
      </c>
      <c r="R15" s="27"/>
      <c r="S15" s="28">
        <f>+'Egg Harbor City'!S18</f>
        <v>507</v>
      </c>
      <c r="T15" s="27"/>
      <c r="U15" s="28">
        <f>+'Egg Harbor City'!U18</f>
        <v>668</v>
      </c>
      <c r="V15" s="27"/>
      <c r="W15" s="28">
        <f>+'Egg Harbor City'!W18</f>
        <v>8</v>
      </c>
      <c r="X15" s="27"/>
      <c r="Y15" s="28">
        <f>+'Egg Harbor City'!Y18</f>
        <v>3</v>
      </c>
      <c r="Z15" s="27"/>
      <c r="AA15" s="28">
        <f>+'Egg Harbor City'!AA18</f>
        <v>7</v>
      </c>
      <c r="AB15" s="27"/>
      <c r="AC15" s="28">
        <f>+'Egg Harbor City'!AC18</f>
        <v>6</v>
      </c>
      <c r="AD15" s="27"/>
      <c r="AE15" s="28">
        <f>+'Egg Harbor City'!AE18</f>
        <v>588</v>
      </c>
      <c r="AF15" s="27"/>
      <c r="AG15" s="28">
        <f>+'Egg Harbor City'!AG18</f>
        <v>583</v>
      </c>
      <c r="AH15" s="27"/>
      <c r="AI15" s="28"/>
      <c r="AJ15" s="27"/>
      <c r="AK15" s="28"/>
      <c r="AL15" s="27"/>
      <c r="AM15" s="28">
        <f>+'Egg Harbor City'!AI18</f>
        <v>524</v>
      </c>
      <c r="AN15" s="27"/>
      <c r="AO15" s="28">
        <f>+'Egg Harbor City'!AK18</f>
        <v>647</v>
      </c>
      <c r="AP15" s="27"/>
      <c r="AQ15" s="447">
        <f>+'Egg Harbor City'!BE18</f>
        <v>317</v>
      </c>
      <c r="AR15" s="49"/>
      <c r="AS15" s="447">
        <f>+'Egg Harbor City'!BG18</f>
        <v>533</v>
      </c>
      <c r="AT15" s="27"/>
      <c r="AU15" s="32">
        <f>1388+1406</f>
        <v>2794</v>
      </c>
      <c r="AV15" s="27"/>
      <c r="AW15" s="28">
        <f>+'Egg Harbor City'!BI18</f>
        <v>1227</v>
      </c>
      <c r="AX15" s="27"/>
      <c r="AY15" s="28">
        <f>+'Egg Harbor City'!BK18</f>
        <v>147</v>
      </c>
      <c r="AZ15" s="27"/>
      <c r="BA15" s="28">
        <f>+'Egg Harbor City'!BM18</f>
        <v>57</v>
      </c>
      <c r="BB15" s="27"/>
      <c r="BC15" s="28">
        <f>+'Egg Harbor City'!BO18</f>
        <v>0</v>
      </c>
      <c r="BD15" s="27"/>
      <c r="BE15" s="28">
        <f t="shared" si="0"/>
        <v>1431</v>
      </c>
      <c r="BF15" s="26"/>
      <c r="BG15" s="254">
        <f t="shared" si="1"/>
        <v>0.5121689334287759</v>
      </c>
      <c r="BH15" s="26"/>
      <c r="BI15" s="26"/>
      <c r="CT15" s="1"/>
      <c r="CU15" s="1"/>
    </row>
    <row r="16" spans="1:151" x14ac:dyDescent="0.2">
      <c r="A16" s="36" t="s">
        <v>8</v>
      </c>
      <c r="C16" s="28">
        <f>+'Egg Harbor Twp'!C34</f>
        <v>7318</v>
      </c>
      <c r="D16" s="27"/>
      <c r="E16" s="28">
        <f>+'Egg Harbor Twp'!E34</f>
        <v>6421</v>
      </c>
      <c r="F16" s="27"/>
      <c r="G16" s="28">
        <f>+'Egg Harbor Twp'!G34</f>
        <v>227</v>
      </c>
      <c r="H16" s="27"/>
      <c r="I16" s="28">
        <f>+'Egg Harbor Twp'!I34</f>
        <v>60</v>
      </c>
      <c r="J16" s="27"/>
      <c r="K16" s="28">
        <f>+'Egg Harbor Twp'!K34</f>
        <v>103</v>
      </c>
      <c r="L16" s="27"/>
      <c r="M16" s="28">
        <f>+'Egg Harbor Twp'!M34</f>
        <v>80</v>
      </c>
      <c r="N16" s="27"/>
      <c r="O16" s="447">
        <f>+'Egg Harbor Twp'!O34</f>
        <v>34</v>
      </c>
      <c r="P16" s="27"/>
      <c r="Q16" s="28">
        <f>+'Egg Harbor Twp'!Q34</f>
        <v>15</v>
      </c>
      <c r="R16" s="27"/>
      <c r="S16" s="28">
        <f>+'Egg Harbor Twp'!S34</f>
        <v>6257</v>
      </c>
      <c r="T16" s="27"/>
      <c r="U16" s="28">
        <f>+'Egg Harbor Twp'!U34</f>
        <v>7650</v>
      </c>
      <c r="V16" s="27"/>
      <c r="W16" s="28">
        <f>+'Egg Harbor Twp'!W34</f>
        <v>78</v>
      </c>
      <c r="X16" s="27"/>
      <c r="Y16" s="28">
        <f>+'Egg Harbor Twp'!Y34</f>
        <v>46</v>
      </c>
      <c r="Z16" s="27"/>
      <c r="AA16" s="28">
        <f>+'Egg Harbor Twp'!AA34</f>
        <v>88</v>
      </c>
      <c r="AB16" s="27"/>
      <c r="AC16" s="28">
        <f>+'Egg Harbor Twp'!AC34</f>
        <v>58</v>
      </c>
      <c r="AD16" s="27"/>
      <c r="AE16" s="28">
        <f>+'Egg Harbor Twp'!AE34</f>
        <v>7449</v>
      </c>
      <c r="AF16" s="27"/>
      <c r="AG16" s="28">
        <f>+'Egg Harbor Twp'!AG34</f>
        <v>6508</v>
      </c>
      <c r="AH16" s="27"/>
      <c r="AI16" s="28">
        <f>+'Egg Harbor Twp'!AI34</f>
        <v>1007</v>
      </c>
      <c r="AJ16" s="27"/>
      <c r="AK16" s="28">
        <f>+'Egg Harbor Twp'!AK34</f>
        <v>554</v>
      </c>
      <c r="AL16" s="27"/>
      <c r="AM16" s="28"/>
      <c r="AN16" s="27"/>
      <c r="AO16" s="28"/>
      <c r="AP16" s="27"/>
      <c r="AQ16" s="447">
        <f>+'Egg Harbor Twp'!BU34</f>
        <v>4806</v>
      </c>
      <c r="AR16" s="49"/>
      <c r="AS16" s="447">
        <f>+'Egg Harbor Twp'!BW34</f>
        <v>6965</v>
      </c>
      <c r="AT16" s="27"/>
      <c r="AU16" s="32">
        <f>1132+1335+1520+1481+1813+1180+1419+1662+1998+1626+1793+1048+492+620+1418+1304+1762+1302+1797+1711+1740+1013</f>
        <v>31166</v>
      </c>
      <c r="AV16" s="27"/>
      <c r="AW16" s="28">
        <f>+'Egg Harbor Twp'!BY34</f>
        <v>14540</v>
      </c>
      <c r="AX16" s="27"/>
      <c r="AY16" s="28">
        <f>+'Egg Harbor Twp'!CA34</f>
        <v>1805</v>
      </c>
      <c r="AZ16" s="27"/>
      <c r="BA16" s="28">
        <f>+'Egg Harbor Twp'!CC34</f>
        <v>375</v>
      </c>
      <c r="BB16" s="27"/>
      <c r="BC16" s="28">
        <f>+'Egg Harbor Twp'!CE34</f>
        <v>0</v>
      </c>
      <c r="BD16" s="27"/>
      <c r="BE16" s="28">
        <f t="shared" si="0"/>
        <v>16720</v>
      </c>
      <c r="BF16" s="26"/>
      <c r="BG16" s="254">
        <f t="shared" si="1"/>
        <v>0.53648206378746066</v>
      </c>
      <c r="BH16" s="26"/>
      <c r="BI16" s="26"/>
      <c r="CT16" s="1"/>
      <c r="CU16" s="1"/>
    </row>
    <row r="17" spans="1:99" x14ac:dyDescent="0.2">
      <c r="A17" s="36" t="s">
        <v>9</v>
      </c>
      <c r="C17" s="28">
        <f>+'Estell Manor'!C13</f>
        <v>526</v>
      </c>
      <c r="D17" s="27"/>
      <c r="E17" s="28">
        <f>+'Estell Manor'!E13</f>
        <v>191</v>
      </c>
      <c r="F17" s="27"/>
      <c r="G17" s="28">
        <f>+'Estell Manor'!G13</f>
        <v>6</v>
      </c>
      <c r="H17" s="27"/>
      <c r="I17" s="28">
        <f>+'Estell Manor'!I13</f>
        <v>4</v>
      </c>
      <c r="J17" s="27"/>
      <c r="K17" s="28">
        <f>+'Estell Manor'!K13</f>
        <v>3</v>
      </c>
      <c r="L17" s="27"/>
      <c r="M17" s="28">
        <f>+'Estell Manor'!M13</f>
        <v>2</v>
      </c>
      <c r="N17" s="27"/>
      <c r="O17" s="28">
        <f>+'Estell Manor'!O13</f>
        <v>7</v>
      </c>
      <c r="P17" s="27"/>
      <c r="Q17" s="28">
        <f>+'Estell Manor'!Q13</f>
        <v>4</v>
      </c>
      <c r="R17" s="27"/>
      <c r="S17" s="28">
        <f>+'Estell Manor'!S13</f>
        <v>432</v>
      </c>
      <c r="T17" s="27"/>
      <c r="U17" s="28">
        <f>+'Estell Manor'!U13</f>
        <v>303</v>
      </c>
      <c r="V17" s="27"/>
      <c r="W17" s="28">
        <f>+'Estell Manor'!W13</f>
        <v>7</v>
      </c>
      <c r="X17" s="27"/>
      <c r="Y17" s="28">
        <f>+'Estell Manor'!Y13</f>
        <v>3</v>
      </c>
      <c r="Z17" s="27"/>
      <c r="AA17" s="28">
        <f>+'Estell Manor'!AA13</f>
        <v>5</v>
      </c>
      <c r="AB17" s="27"/>
      <c r="AC17" s="28">
        <f>+'Estell Manor'!AC13</f>
        <v>1</v>
      </c>
      <c r="AD17" s="27"/>
      <c r="AE17" s="28">
        <f>+'Estell Manor'!AE13</f>
        <v>524</v>
      </c>
      <c r="AF17" s="27"/>
      <c r="AG17" s="28">
        <f>+'Estell Manor'!AG13</f>
        <v>212</v>
      </c>
      <c r="AH17" s="27"/>
      <c r="AI17" s="28"/>
      <c r="AJ17" s="27"/>
      <c r="AK17" s="28"/>
      <c r="AL17" s="27"/>
      <c r="AM17" s="28">
        <f>+'Estell Manor'!AI13</f>
        <v>513</v>
      </c>
      <c r="AN17" s="27"/>
      <c r="AO17" s="28">
        <f>+'Estell Manor'!AK13</f>
        <v>222</v>
      </c>
      <c r="AP17" s="27"/>
      <c r="AQ17" s="28">
        <f>+'Estell Manor'!AU13</f>
        <v>184</v>
      </c>
      <c r="AR17" s="27"/>
      <c r="AS17" s="28">
        <f>+'Estell Manor'!AW13</f>
        <v>514</v>
      </c>
      <c r="AT17" s="27"/>
      <c r="AU17" s="32">
        <v>1345</v>
      </c>
      <c r="AV17" s="27"/>
      <c r="AW17" s="28">
        <f>+'Estell Manor'!AY11</f>
        <v>758</v>
      </c>
      <c r="AX17" s="27"/>
      <c r="AY17" s="28">
        <f>+'Estell Manor'!BA11</f>
        <v>92</v>
      </c>
      <c r="AZ17" s="27"/>
      <c r="BA17" s="28">
        <f>+'Estell Manor'!BC11</f>
        <v>8</v>
      </c>
      <c r="BB17" s="27"/>
      <c r="BC17" s="28">
        <f>+'Estell Manor'!BE11</f>
        <v>0</v>
      </c>
      <c r="BD17" s="27"/>
      <c r="BE17" s="28">
        <f t="shared" si="0"/>
        <v>858</v>
      </c>
      <c r="BF17" s="26"/>
      <c r="BG17" s="254">
        <f t="shared" si="1"/>
        <v>0.63791821561338291</v>
      </c>
      <c r="BH17" s="26"/>
      <c r="BI17" s="26"/>
      <c r="CT17" s="1"/>
      <c r="CU17" s="1"/>
    </row>
    <row r="18" spans="1:99" x14ac:dyDescent="0.2">
      <c r="A18" s="36" t="s">
        <v>10</v>
      </c>
      <c r="C18" s="28">
        <f>+Folsom!C13</f>
        <v>381</v>
      </c>
      <c r="D18" s="27"/>
      <c r="E18" s="28">
        <f>+Folsom!E13</f>
        <v>209</v>
      </c>
      <c r="F18" s="27"/>
      <c r="G18" s="28">
        <f>+Folsom!G13</f>
        <v>4</v>
      </c>
      <c r="H18" s="27"/>
      <c r="I18" s="28">
        <f>+Folsom!I13</f>
        <v>1</v>
      </c>
      <c r="J18" s="27"/>
      <c r="K18" s="28">
        <f>+Folsom!K13</f>
        <v>3</v>
      </c>
      <c r="L18" s="27"/>
      <c r="M18" s="28">
        <f>+Folsom!M13</f>
        <v>3</v>
      </c>
      <c r="N18" s="27"/>
      <c r="O18" s="28">
        <f>+Folsom!O13</f>
        <v>1</v>
      </c>
      <c r="P18" s="27"/>
      <c r="Q18" s="28">
        <f>+Folsom!Q13</f>
        <v>0</v>
      </c>
      <c r="R18" s="27"/>
      <c r="S18" s="28">
        <f>+Folsom!S13</f>
        <v>361</v>
      </c>
      <c r="T18" s="27"/>
      <c r="U18" s="28">
        <f>+Folsom!U13</f>
        <v>232</v>
      </c>
      <c r="V18" s="27"/>
      <c r="W18" s="28">
        <f>+Folsom!W13</f>
        <v>2</v>
      </c>
      <c r="X18" s="27"/>
      <c r="Y18" s="28">
        <f>+Folsom!Y13</f>
        <v>0</v>
      </c>
      <c r="Z18" s="27"/>
      <c r="AA18" s="28">
        <f>+Folsom!AA13</f>
        <v>4</v>
      </c>
      <c r="AB18" s="27"/>
      <c r="AC18" s="28">
        <f>+Folsom!AC13</f>
        <v>3</v>
      </c>
      <c r="AD18" s="27"/>
      <c r="AE18" s="28">
        <f>+Folsom!AE13</f>
        <v>396</v>
      </c>
      <c r="AF18" s="27"/>
      <c r="AG18" s="28">
        <f>+Folsom!AG13</f>
        <v>198</v>
      </c>
      <c r="AH18" s="27"/>
      <c r="AI18" s="28"/>
      <c r="AJ18" s="27"/>
      <c r="AK18" s="28"/>
      <c r="AL18" s="27"/>
      <c r="AM18" s="28">
        <f>+Folsom!AI13</f>
        <v>395</v>
      </c>
      <c r="AN18" s="27"/>
      <c r="AO18" s="28">
        <f>+Folsom!AK13</f>
        <v>200</v>
      </c>
      <c r="AP18" s="27"/>
      <c r="AQ18" s="28">
        <f>+Folsom!BA13</f>
        <v>199</v>
      </c>
      <c r="AR18" s="27"/>
      <c r="AS18" s="28">
        <f>+Folsom!BC13</f>
        <v>337</v>
      </c>
      <c r="AT18" s="27"/>
      <c r="AU18" s="32">
        <v>1294</v>
      </c>
      <c r="AV18" s="27"/>
      <c r="AW18" s="28">
        <f>+Folsom!BE13</f>
        <v>618</v>
      </c>
      <c r="AX18" s="27"/>
      <c r="AY18" s="28">
        <f>+Folsom!BG13</f>
        <v>61</v>
      </c>
      <c r="AZ18" s="27"/>
      <c r="BA18" s="28">
        <f>+Folsom!BI13</f>
        <v>8</v>
      </c>
      <c r="BB18" s="27"/>
      <c r="BC18" s="28">
        <f>+Folsom!BK13</f>
        <v>0</v>
      </c>
      <c r="BD18" s="27"/>
      <c r="BE18" s="28">
        <f t="shared" si="0"/>
        <v>687</v>
      </c>
      <c r="BF18" s="26"/>
      <c r="BG18" s="254">
        <f t="shared" si="1"/>
        <v>0.53091190108191655</v>
      </c>
      <c r="BH18" s="26"/>
      <c r="BI18" s="26"/>
      <c r="CT18" s="1"/>
      <c r="CU18" s="1"/>
    </row>
    <row r="19" spans="1:99" x14ac:dyDescent="0.2">
      <c r="A19" s="36" t="s">
        <v>11</v>
      </c>
      <c r="C19" s="28">
        <f>+'Galloway Twp'!C29</f>
        <v>5836</v>
      </c>
      <c r="D19" s="27"/>
      <c r="E19" s="28">
        <f>+'Galloway Twp'!E29</f>
        <v>5359</v>
      </c>
      <c r="F19" s="27"/>
      <c r="G19" s="28">
        <f>+'Galloway Twp'!G29</f>
        <v>207</v>
      </c>
      <c r="H19" s="27"/>
      <c r="I19" s="28">
        <f>+'Galloway Twp'!I29</f>
        <v>60</v>
      </c>
      <c r="J19" s="27"/>
      <c r="K19" s="28">
        <f>+'Galloway Twp'!K29</f>
        <v>62</v>
      </c>
      <c r="L19" s="27"/>
      <c r="M19" s="28">
        <f>+'Galloway Twp'!M29</f>
        <v>83</v>
      </c>
      <c r="N19" s="27"/>
      <c r="O19" s="28">
        <f>+'Galloway Twp'!O29</f>
        <v>25</v>
      </c>
      <c r="P19" s="27"/>
      <c r="Q19" s="28">
        <f>+'Galloway Twp'!Q29</f>
        <v>15</v>
      </c>
      <c r="R19" s="27"/>
      <c r="S19" s="28">
        <f>+'Galloway Twp'!S29</f>
        <v>5071</v>
      </c>
      <c r="T19" s="27"/>
      <c r="U19" s="28">
        <f>+'Galloway Twp'!U29</f>
        <v>6286</v>
      </c>
      <c r="V19" s="27"/>
      <c r="W19" s="28">
        <f>+'Galloway Twp'!W29</f>
        <v>69</v>
      </c>
      <c r="X19" s="27"/>
      <c r="Y19" s="28">
        <f>+'Galloway Twp'!Y29</f>
        <v>47</v>
      </c>
      <c r="Z19" s="27"/>
      <c r="AA19" s="28">
        <f>+'Galloway Twp'!AA29</f>
        <v>78</v>
      </c>
      <c r="AB19" s="27"/>
      <c r="AC19" s="28">
        <f>+'Galloway Twp'!AC29</f>
        <v>35</v>
      </c>
      <c r="AD19" s="27"/>
      <c r="AE19" s="28">
        <f>+'Galloway Twp'!AE29</f>
        <v>5912</v>
      </c>
      <c r="AF19" s="27"/>
      <c r="AG19" s="28">
        <f>+'Galloway Twp'!AG29</f>
        <v>5459</v>
      </c>
      <c r="AH19" s="27"/>
      <c r="AI19" s="28"/>
      <c r="AJ19" s="27"/>
      <c r="AK19" s="28"/>
      <c r="AL19" s="27"/>
      <c r="AM19" s="28"/>
      <c r="AN19" s="27"/>
      <c r="AO19" s="28"/>
      <c r="AP19" s="27"/>
      <c r="AQ19" s="28">
        <f>+'Galloway Twp'!AQ29</f>
        <v>4428</v>
      </c>
      <c r="AR19" s="27"/>
      <c r="AS19" s="28">
        <f>+'Galloway Twp'!AS29</f>
        <v>5823</v>
      </c>
      <c r="AT19" s="27"/>
      <c r="AU19" s="32">
        <f>1578+1568+1718+1181+1428+1612+738+1522+1444+1326+1359+1833+1121+1510+1517+1835+2152</f>
        <v>25442</v>
      </c>
      <c r="AV19" s="27"/>
      <c r="AW19" s="28">
        <f>+'Galloway Twp'!AU29</f>
        <v>11837</v>
      </c>
      <c r="AX19" s="27"/>
      <c r="AY19" s="28">
        <f>+'Galloway Twp'!AW29</f>
        <v>1406</v>
      </c>
      <c r="AZ19" s="27"/>
      <c r="BA19" s="28">
        <f>+'Galloway Twp'!AY29</f>
        <v>318</v>
      </c>
      <c r="BB19" s="27"/>
      <c r="BC19" s="28">
        <f>+'Galloway Twp'!BA29</f>
        <v>0</v>
      </c>
      <c r="BD19" s="27"/>
      <c r="BE19" s="28">
        <f t="shared" si="0"/>
        <v>13561</v>
      </c>
      <c r="BF19" s="26"/>
      <c r="BG19" s="254">
        <f t="shared" si="1"/>
        <v>0.53301627230563631</v>
      </c>
      <c r="BH19" s="26"/>
      <c r="BI19" s="26"/>
      <c r="CT19" s="1"/>
      <c r="CU19" s="1"/>
    </row>
    <row r="20" spans="1:99" x14ac:dyDescent="0.2">
      <c r="A20" s="36" t="s">
        <v>12</v>
      </c>
      <c r="C20" s="28">
        <f>+'Hamilton Twp'!C25</f>
        <v>3979</v>
      </c>
      <c r="D20" s="27"/>
      <c r="E20" s="28">
        <f>+'Hamilton Twp'!E25</f>
        <v>3951</v>
      </c>
      <c r="F20" s="27"/>
      <c r="G20" s="28">
        <f>+'Hamilton Twp'!G25</f>
        <v>149</v>
      </c>
      <c r="H20" s="27"/>
      <c r="I20" s="28">
        <f>+'Hamilton Twp'!I25</f>
        <v>40</v>
      </c>
      <c r="J20" s="27"/>
      <c r="K20" s="28">
        <f>+'Hamilton Twp'!K25</f>
        <v>61</v>
      </c>
      <c r="L20" s="27"/>
      <c r="M20" s="28">
        <f>+'Hamilton Twp'!M25</f>
        <v>50</v>
      </c>
      <c r="N20" s="27"/>
      <c r="O20" s="28">
        <f>+'Hamilton Twp'!O25</f>
        <v>20</v>
      </c>
      <c r="P20" s="27"/>
      <c r="Q20" s="28">
        <f>+'Hamilton Twp'!Q25</f>
        <v>22</v>
      </c>
      <c r="R20" s="27"/>
      <c r="S20" s="28">
        <f>+'Hamilton Twp'!S25</f>
        <v>3379</v>
      </c>
      <c r="T20" s="27"/>
      <c r="U20" s="28">
        <f>+'Hamilton Twp'!U25</f>
        <v>4675</v>
      </c>
      <c r="V20" s="27"/>
      <c r="W20" s="28">
        <f>+'Hamilton Twp'!W25</f>
        <v>53</v>
      </c>
      <c r="X20" s="27"/>
      <c r="Y20" s="28">
        <f>+'Hamilton Twp'!Y25</f>
        <v>36</v>
      </c>
      <c r="Z20" s="27"/>
      <c r="AA20" s="28">
        <f>+'Hamilton Twp'!AA25</f>
        <v>54</v>
      </c>
      <c r="AB20" s="27"/>
      <c r="AC20" s="28">
        <f>+'Hamilton Twp'!AC25</f>
        <v>28</v>
      </c>
      <c r="AD20" s="27"/>
      <c r="AE20" s="28">
        <f>+'Hamilton Twp'!AE25</f>
        <v>4043</v>
      </c>
      <c r="AF20" s="27"/>
      <c r="AG20" s="28">
        <f>+'Hamilton Twp'!AG25</f>
        <v>4061</v>
      </c>
      <c r="AH20" s="27"/>
      <c r="AI20" s="28"/>
      <c r="AJ20" s="27"/>
      <c r="AK20" s="28"/>
      <c r="AL20" s="27"/>
      <c r="AM20" s="28">
        <f>+'Hamilton Twp'!AI25</f>
        <v>1790</v>
      </c>
      <c r="AN20" s="27"/>
      <c r="AO20" s="28">
        <f>+'Hamilton Twp'!AK25</f>
        <v>1566</v>
      </c>
      <c r="AP20" s="27"/>
      <c r="AQ20" s="28">
        <f>+'Hamilton Twp'!BI25</f>
        <v>3107</v>
      </c>
      <c r="AR20" s="27"/>
      <c r="AS20" s="28">
        <f>+'Hamilton Twp'!BK25</f>
        <v>3757</v>
      </c>
      <c r="AT20" s="27"/>
      <c r="AU20" s="32">
        <f>1328+1351+998+1504+1239+1239+1724+1315+1770+1310+1757+1080+1708</f>
        <v>18323</v>
      </c>
      <c r="AV20" s="27"/>
      <c r="AW20" s="28">
        <f>+'Hamilton Twp'!BM25</f>
        <v>8393</v>
      </c>
      <c r="AX20" s="27"/>
      <c r="AY20" s="28">
        <f>+'Hamilton Twp'!BO25</f>
        <v>1053</v>
      </c>
      <c r="AZ20" s="27"/>
      <c r="BA20" s="28">
        <f>+'Hamilton Twp'!BQ25</f>
        <v>184</v>
      </c>
      <c r="BB20" s="27"/>
      <c r="BC20" s="28">
        <f>+'Hamilton Twp'!BS25</f>
        <v>0</v>
      </c>
      <c r="BD20" s="27"/>
      <c r="BE20" s="28">
        <f t="shared" si="0"/>
        <v>9630</v>
      </c>
      <c r="BF20" s="26"/>
      <c r="BG20" s="254">
        <f t="shared" si="1"/>
        <v>0.52556895704851825</v>
      </c>
      <c r="BH20" s="26"/>
      <c r="BI20" s="26"/>
      <c r="CT20" s="1"/>
      <c r="CU20" s="1"/>
    </row>
    <row r="21" spans="1:99" x14ac:dyDescent="0.2">
      <c r="A21" s="36" t="s">
        <v>13</v>
      </c>
      <c r="C21" s="28">
        <f>+Hammonton!C19</f>
        <v>2857</v>
      </c>
      <c r="D21" s="27"/>
      <c r="E21" s="28">
        <f>+Hammonton!E19</f>
        <v>1507</v>
      </c>
      <c r="F21" s="27"/>
      <c r="G21" s="28">
        <f>+Hammonton!G19</f>
        <v>76</v>
      </c>
      <c r="H21" s="27"/>
      <c r="I21" s="28">
        <f>+Hammonton!I19</f>
        <v>15</v>
      </c>
      <c r="J21" s="27"/>
      <c r="K21" s="28">
        <f>+Hammonton!K19</f>
        <v>40</v>
      </c>
      <c r="L21" s="27"/>
      <c r="M21" s="28">
        <f>+Hammonton!M19</f>
        <v>35</v>
      </c>
      <c r="N21" s="27"/>
      <c r="O21" s="28">
        <f>+Hammonton!O19</f>
        <v>12</v>
      </c>
      <c r="P21" s="27"/>
      <c r="Q21" s="28">
        <f>+Hammonton!Q19</f>
        <v>5</v>
      </c>
      <c r="R21" s="27"/>
      <c r="S21" s="28">
        <f>+Hammonton!S19</f>
        <v>2490</v>
      </c>
      <c r="T21" s="27"/>
      <c r="U21" s="28">
        <f>+Hammonton!U19</f>
        <v>1877</v>
      </c>
      <c r="V21" s="27"/>
      <c r="W21" s="28">
        <f>+Hammonton!W19</f>
        <v>36</v>
      </c>
      <c r="X21" s="27"/>
      <c r="Y21" s="28">
        <f>+Hammonton!Y19</f>
        <v>17</v>
      </c>
      <c r="Z21" s="27"/>
      <c r="AA21" s="28">
        <f>+Hammonton!AA19</f>
        <v>57</v>
      </c>
      <c r="AB21" s="27"/>
      <c r="AC21" s="28">
        <f>+Hammonton!AC19</f>
        <v>9</v>
      </c>
      <c r="AD21" s="27"/>
      <c r="AE21" s="28">
        <f>+Hammonton!AE19</f>
        <v>2878</v>
      </c>
      <c r="AF21" s="27"/>
      <c r="AG21" s="28">
        <f>+Hammonton!AG19</f>
        <v>1559</v>
      </c>
      <c r="AH21" s="27"/>
      <c r="AI21" s="28"/>
      <c r="AJ21" s="27"/>
      <c r="AK21" s="28"/>
      <c r="AL21" s="27"/>
      <c r="AM21" s="28">
        <f>+Hammonton!AI19</f>
        <v>3043</v>
      </c>
      <c r="AN21" s="27"/>
      <c r="AO21" s="28">
        <f>+Hammonton!AK19</f>
        <v>1457</v>
      </c>
      <c r="AP21" s="27"/>
      <c r="AQ21" s="28">
        <f>+Hammonton!BS19</f>
        <v>1382</v>
      </c>
      <c r="AR21" s="27"/>
      <c r="AS21" s="28">
        <f>+Hammonton!BU19</f>
        <v>2436</v>
      </c>
      <c r="AT21" s="27"/>
      <c r="AU21" s="56">
        <f>1550+1132+1379+1032+1503+1096+1549</f>
        <v>9241</v>
      </c>
      <c r="AV21" s="27"/>
      <c r="AW21" s="28">
        <f>+Hammonton!BW19</f>
        <v>4734</v>
      </c>
      <c r="AX21" s="27"/>
      <c r="AY21" s="28">
        <f>+Hammonton!BY19</f>
        <v>620</v>
      </c>
      <c r="AZ21" s="27"/>
      <c r="BA21" s="28">
        <f>+Hammonton!CA19</f>
        <v>91</v>
      </c>
      <c r="BB21" s="27"/>
      <c r="BC21" s="28">
        <f>+Hammonton!CC19</f>
        <v>0</v>
      </c>
      <c r="BD21" s="27"/>
      <c r="BE21" s="28">
        <f t="shared" si="0"/>
        <v>5445</v>
      </c>
      <c r="BF21" s="26"/>
      <c r="BG21" s="254">
        <f t="shared" si="1"/>
        <v>0.5892219456768748</v>
      </c>
      <c r="BH21" s="26"/>
      <c r="BI21" s="26"/>
      <c r="CT21" s="1"/>
      <c r="CU21" s="1"/>
    </row>
    <row r="22" spans="1:99" x14ac:dyDescent="0.2">
      <c r="A22" s="36" t="s">
        <v>14</v>
      </c>
      <c r="C22" s="28">
        <f>+Linwood!C17</f>
        <v>1742</v>
      </c>
      <c r="D22" s="27"/>
      <c r="E22" s="28">
        <f>+Linwood!E17</f>
        <v>1073</v>
      </c>
      <c r="F22" s="27"/>
      <c r="G22" s="28">
        <f>+Linwood!G17</f>
        <v>27</v>
      </c>
      <c r="H22" s="27"/>
      <c r="I22" s="28">
        <f>+Linwood!I17</f>
        <v>8</v>
      </c>
      <c r="J22" s="27"/>
      <c r="K22" s="28">
        <f>+Linwood!K17</f>
        <v>19</v>
      </c>
      <c r="L22" s="27"/>
      <c r="M22" s="28">
        <f>+Linwood!M17</f>
        <v>14</v>
      </c>
      <c r="N22" s="27"/>
      <c r="O22" s="28">
        <f>+Linwood!O17</f>
        <v>5</v>
      </c>
      <c r="P22" s="27"/>
      <c r="Q22" s="28">
        <f>+Linwood!Q17</f>
        <v>3</v>
      </c>
      <c r="R22" s="27"/>
      <c r="S22" s="28">
        <f>+Linwood!S17</f>
        <v>1436</v>
      </c>
      <c r="T22" s="27"/>
      <c r="U22" s="28">
        <f>+Linwood!U17</f>
        <v>1425</v>
      </c>
      <c r="V22" s="27"/>
      <c r="W22" s="28">
        <f>+Linwood!W17</f>
        <v>17</v>
      </c>
      <c r="X22" s="27"/>
      <c r="Y22" s="28">
        <f>+Linwood!Y17</f>
        <v>5</v>
      </c>
      <c r="Z22" s="27"/>
      <c r="AA22" s="28">
        <f>+Linwood!AA17</f>
        <v>15</v>
      </c>
      <c r="AB22" s="27"/>
      <c r="AC22" s="28">
        <f>+Linwood!AC17</f>
        <v>4</v>
      </c>
      <c r="AD22" s="27"/>
      <c r="AE22" s="28">
        <f>+Linwood!AE17</f>
        <v>1812</v>
      </c>
      <c r="AF22" s="27"/>
      <c r="AG22" s="28">
        <f>+Linwood!AG17</f>
        <v>1049</v>
      </c>
      <c r="AH22" s="27"/>
      <c r="AI22" s="28">
        <f>+Linwood!AI17</f>
        <v>1787</v>
      </c>
      <c r="AJ22" s="27"/>
      <c r="AK22" s="28">
        <f>+Linwood!AK17</f>
        <v>1068</v>
      </c>
      <c r="AL22" s="27"/>
      <c r="AM22" s="28"/>
      <c r="AN22" s="27"/>
      <c r="AO22" s="28"/>
      <c r="AP22" s="27"/>
      <c r="AQ22" s="28">
        <f>+Linwood!BE17</f>
        <v>1099</v>
      </c>
      <c r="AR22" s="27"/>
      <c r="AS22" s="28">
        <f>+Linwood!BG17</f>
        <v>1511</v>
      </c>
      <c r="AT22" s="27"/>
      <c r="AU22" s="32">
        <f>2696+2871</f>
        <v>5567</v>
      </c>
      <c r="AV22" s="27"/>
      <c r="AW22" s="28">
        <f>+Linwood!BI17</f>
        <v>2941</v>
      </c>
      <c r="AX22" s="27"/>
      <c r="AY22" s="28">
        <f>+Linwood!BK17</f>
        <v>412</v>
      </c>
      <c r="AZ22" s="27"/>
      <c r="BA22" s="28">
        <f>+Linwood!BM17</f>
        <v>73</v>
      </c>
      <c r="BB22" s="27"/>
      <c r="BC22" s="28">
        <f>+Linwood!BO17</f>
        <v>0</v>
      </c>
      <c r="BD22" s="27"/>
      <c r="BE22" s="28">
        <f t="shared" si="0"/>
        <v>3426</v>
      </c>
      <c r="BF22" s="26"/>
      <c r="BG22" s="254">
        <f t="shared" si="1"/>
        <v>0.61541225076342732</v>
      </c>
      <c r="BH22" s="26"/>
      <c r="BI22" s="26"/>
      <c r="CT22" s="1"/>
      <c r="CU22" s="1"/>
    </row>
    <row r="23" spans="1:99" x14ac:dyDescent="0.2">
      <c r="A23" s="36" t="s">
        <v>15</v>
      </c>
      <c r="C23" s="28">
        <f>+Longport!C13</f>
        <v>245</v>
      </c>
      <c r="D23" s="27"/>
      <c r="E23" s="28">
        <f>+Longport!E13</f>
        <v>97</v>
      </c>
      <c r="F23" s="27"/>
      <c r="G23" s="28">
        <f>+Longport!G13</f>
        <v>6</v>
      </c>
      <c r="H23" s="27"/>
      <c r="I23" s="28">
        <f>+Longport!I13</f>
        <v>1</v>
      </c>
      <c r="J23" s="27"/>
      <c r="K23" s="28">
        <f>+Longport!K13</f>
        <v>0</v>
      </c>
      <c r="L23" s="27"/>
      <c r="M23" s="28">
        <f>+Longport!M13</f>
        <v>0</v>
      </c>
      <c r="N23" s="27"/>
      <c r="O23" s="28">
        <f>+Longport!O13</f>
        <v>1</v>
      </c>
      <c r="P23" s="27"/>
      <c r="Q23" s="28">
        <f>+Longport!Q13</f>
        <v>1</v>
      </c>
      <c r="R23" s="27"/>
      <c r="S23" s="28">
        <f>+Longport!S13</f>
        <v>219</v>
      </c>
      <c r="T23" s="27"/>
      <c r="U23" s="28">
        <f>+Longport!U13</f>
        <v>129</v>
      </c>
      <c r="V23" s="27"/>
      <c r="W23" s="28">
        <f>+Longport!W13</f>
        <v>0</v>
      </c>
      <c r="X23" s="27"/>
      <c r="Y23" s="28">
        <f>+Longport!Y13</f>
        <v>0</v>
      </c>
      <c r="Z23" s="27"/>
      <c r="AA23" s="28">
        <f>+Longport!AA13</f>
        <v>0</v>
      </c>
      <c r="AB23" s="27"/>
      <c r="AC23" s="28">
        <f>+Longport!AC13</f>
        <v>0</v>
      </c>
      <c r="AD23" s="27"/>
      <c r="AE23" s="28">
        <f>+Longport!AE13</f>
        <v>253</v>
      </c>
      <c r="AF23" s="27"/>
      <c r="AG23" s="28">
        <f>+Longport!AG13</f>
        <v>93</v>
      </c>
      <c r="AH23" s="27"/>
      <c r="AI23" s="28">
        <f>+Longport!AI13</f>
        <v>240</v>
      </c>
      <c r="AJ23" s="27"/>
      <c r="AK23" s="28">
        <f>+Longport!AK13</f>
        <v>103</v>
      </c>
      <c r="AL23" s="27"/>
      <c r="AM23" s="28"/>
      <c r="AN23" s="27"/>
      <c r="AO23" s="28"/>
      <c r="AP23" s="27"/>
      <c r="AQ23" s="28">
        <f>+Longport!AO13</f>
        <v>123</v>
      </c>
      <c r="AR23" s="27"/>
      <c r="AS23" s="28">
        <f>+Longport!AQ13</f>
        <v>176</v>
      </c>
      <c r="AT23" s="27"/>
      <c r="AU23" s="32">
        <v>763</v>
      </c>
      <c r="AV23" s="27"/>
      <c r="AW23" s="28">
        <f>+Longport!AS13</f>
        <v>355</v>
      </c>
      <c r="AX23" s="27"/>
      <c r="AY23" s="28">
        <f>+Longport!AU13</f>
        <v>83</v>
      </c>
      <c r="AZ23" s="27"/>
      <c r="BA23" s="28">
        <f>+Longport!AW13</f>
        <v>12</v>
      </c>
      <c r="BB23" s="27"/>
      <c r="BC23" s="28">
        <f>+Longport!AY13</f>
        <v>0</v>
      </c>
      <c r="BD23" s="27"/>
      <c r="BE23" s="28">
        <f t="shared" si="0"/>
        <v>450</v>
      </c>
      <c r="BF23" s="26"/>
      <c r="BG23" s="254">
        <f t="shared" si="1"/>
        <v>0.58977719528178241</v>
      </c>
      <c r="BH23" s="26"/>
      <c r="BI23" s="255"/>
      <c r="CT23" s="1"/>
      <c r="CU23" s="1"/>
    </row>
    <row r="24" spans="1:99" x14ac:dyDescent="0.2">
      <c r="A24" s="36" t="s">
        <v>16</v>
      </c>
      <c r="C24" s="28">
        <f>+Margate!C16</f>
        <v>1343</v>
      </c>
      <c r="D24" s="27"/>
      <c r="E24" s="28">
        <f>+Margate!E16</f>
        <v>988</v>
      </c>
      <c r="F24" s="27"/>
      <c r="G24" s="28">
        <f>+Margate!G16</f>
        <v>19</v>
      </c>
      <c r="H24" s="27"/>
      <c r="I24" s="28">
        <f>+Margate!I16</f>
        <v>6</v>
      </c>
      <c r="J24" s="27"/>
      <c r="K24" s="28">
        <f>+Margate!K16</f>
        <v>10</v>
      </c>
      <c r="L24" s="27"/>
      <c r="M24" s="28">
        <f>+Margate!M16</f>
        <v>12</v>
      </c>
      <c r="N24" s="27"/>
      <c r="O24" s="28">
        <f>+Margate!O16</f>
        <v>1</v>
      </c>
      <c r="P24" s="27"/>
      <c r="Q24" s="28">
        <f>+Margate!Q16</f>
        <v>0</v>
      </c>
      <c r="R24" s="27"/>
      <c r="S24" s="28">
        <f>+Margate!S16</f>
        <v>1135</v>
      </c>
      <c r="T24" s="27"/>
      <c r="U24" s="28">
        <f>+Margate!U16</f>
        <v>1222</v>
      </c>
      <c r="V24" s="27"/>
      <c r="W24" s="28">
        <f>+Margate!W16</f>
        <v>11</v>
      </c>
      <c r="X24" s="27"/>
      <c r="Y24" s="28">
        <f>+Margate!Y16</f>
        <v>5</v>
      </c>
      <c r="Z24" s="27"/>
      <c r="AA24" s="28">
        <f>+Margate!AA16</f>
        <v>9</v>
      </c>
      <c r="AB24" s="27"/>
      <c r="AC24" s="28">
        <f>+Margate!AC16</f>
        <v>2</v>
      </c>
      <c r="AD24" s="27"/>
      <c r="AE24" s="28">
        <f>+Margate!AE16</f>
        <v>1467</v>
      </c>
      <c r="AF24" s="27"/>
      <c r="AG24" s="28">
        <f>+Margate!AG16</f>
        <v>880</v>
      </c>
      <c r="AH24" s="27"/>
      <c r="AI24" s="28">
        <f>+Margate!AI16</f>
        <v>1360</v>
      </c>
      <c r="AJ24" s="27"/>
      <c r="AK24" s="28">
        <f>+Margate!AK16</f>
        <v>962</v>
      </c>
      <c r="AL24" s="27"/>
      <c r="AM24" s="28"/>
      <c r="AN24" s="27"/>
      <c r="AO24" s="28"/>
      <c r="AP24" s="27"/>
      <c r="AQ24" s="28">
        <f>+Margate!AM16</f>
        <v>1014</v>
      </c>
      <c r="AR24" s="27"/>
      <c r="AS24" s="28">
        <f>+Margate!AO16</f>
        <v>1064</v>
      </c>
      <c r="AT24" s="27"/>
      <c r="AU24" s="32">
        <v>4920</v>
      </c>
      <c r="AV24" s="27"/>
      <c r="AW24" s="28">
        <f>++Margate!AQ16</f>
        <v>2429</v>
      </c>
      <c r="AX24" s="27"/>
      <c r="AY24" s="28">
        <f>++Margate!AS16</f>
        <v>444</v>
      </c>
      <c r="AZ24" s="27"/>
      <c r="BA24" s="28">
        <f>++Margate!AU16</f>
        <v>64</v>
      </c>
      <c r="BB24" s="27"/>
      <c r="BC24" s="28">
        <f>++Margate!AW16</f>
        <v>0</v>
      </c>
      <c r="BD24" s="27"/>
      <c r="BE24" s="28">
        <f t="shared" si="0"/>
        <v>2937</v>
      </c>
      <c r="BF24" s="26"/>
      <c r="BG24" s="254">
        <f t="shared" si="1"/>
        <v>0.5969512195121951</v>
      </c>
      <c r="BH24" s="26"/>
      <c r="BI24" s="26"/>
      <c r="CT24" s="1"/>
      <c r="CU24" s="1"/>
    </row>
    <row r="25" spans="1:99" x14ac:dyDescent="0.2">
      <c r="A25" s="36" t="s">
        <v>17</v>
      </c>
      <c r="C25" s="28">
        <f>+Mullica!C15</f>
        <v>1278</v>
      </c>
      <c r="D25" s="27"/>
      <c r="E25" s="28">
        <f>+Mullica!E15</f>
        <v>763</v>
      </c>
      <c r="F25" s="27"/>
      <c r="G25" s="28">
        <f>+Mullica!G15</f>
        <v>24</v>
      </c>
      <c r="H25" s="27"/>
      <c r="I25" s="28">
        <f>+Mullica!I15</f>
        <v>11</v>
      </c>
      <c r="J25" s="27"/>
      <c r="K25" s="28">
        <f>+Mullica!K15</f>
        <v>18</v>
      </c>
      <c r="L25" s="27"/>
      <c r="M25" s="28">
        <f>+Mullica!M15</f>
        <v>14</v>
      </c>
      <c r="N25" s="27"/>
      <c r="O25" s="28">
        <f>+Mullica!O15</f>
        <v>5</v>
      </c>
      <c r="P25" s="27"/>
      <c r="Q25" s="28">
        <f>+Mullica!Q15</f>
        <v>0</v>
      </c>
      <c r="R25" s="27"/>
      <c r="S25" s="28">
        <f>+Mullica!S15</f>
        <v>1132</v>
      </c>
      <c r="T25" s="27"/>
      <c r="U25" s="28">
        <f>+Mullica!U15</f>
        <v>940</v>
      </c>
      <c r="V25" s="27"/>
      <c r="W25" s="28">
        <f>+Mullica!W15</f>
        <v>12</v>
      </c>
      <c r="X25" s="27"/>
      <c r="Y25" s="28">
        <f>+Mullica!Y15</f>
        <v>6</v>
      </c>
      <c r="Z25" s="27"/>
      <c r="AA25" s="28">
        <f>+Mullica!AA15</f>
        <v>14</v>
      </c>
      <c r="AB25" s="27"/>
      <c r="AC25" s="28">
        <f>+Mullica!AC15</f>
        <v>6</v>
      </c>
      <c r="AD25" s="27"/>
      <c r="AE25" s="28">
        <f>+Mullica!AE15</f>
        <v>1252</v>
      </c>
      <c r="AF25" s="27"/>
      <c r="AG25" s="28">
        <f>+Mullica!AG15</f>
        <v>821</v>
      </c>
      <c r="AH25" s="27"/>
      <c r="AI25" s="28"/>
      <c r="AJ25" s="27"/>
      <c r="AK25" s="28"/>
      <c r="AL25" s="27"/>
      <c r="AM25" s="28">
        <f>+Mullica!AI15</f>
        <v>1124</v>
      </c>
      <c r="AN25" s="27"/>
      <c r="AO25" s="28">
        <f>+Mullica!AK15</f>
        <v>966</v>
      </c>
      <c r="AP25" s="27"/>
      <c r="AQ25" s="28">
        <f>+Mullica!BC15</f>
        <v>616</v>
      </c>
      <c r="AR25" s="27"/>
      <c r="AS25" s="28">
        <f>+Mullica!BE15</f>
        <v>1183</v>
      </c>
      <c r="AT25" s="27"/>
      <c r="AU25" s="32">
        <v>4416</v>
      </c>
      <c r="AV25" s="27"/>
      <c r="AW25" s="28">
        <f>+Mullica!BG15</f>
        <v>2148</v>
      </c>
      <c r="AX25" s="27"/>
      <c r="AY25" s="28">
        <f>+Mullica!BI15</f>
        <v>214</v>
      </c>
      <c r="AZ25" s="27"/>
      <c r="BA25" s="28">
        <f>+Mullica!BK15</f>
        <v>61</v>
      </c>
      <c r="BB25" s="27"/>
      <c r="BC25" s="28">
        <f>+Mullica!BM15</f>
        <v>0</v>
      </c>
      <c r="BD25" s="27"/>
      <c r="BE25" s="28">
        <f t="shared" si="0"/>
        <v>2423</v>
      </c>
      <c r="BF25" s="26"/>
      <c r="BG25" s="254">
        <f t="shared" si="1"/>
        <v>0.54868659420289856</v>
      </c>
      <c r="BH25" s="26"/>
      <c r="BI25" s="26"/>
      <c r="CT25" s="1"/>
      <c r="CU25" s="1"/>
    </row>
    <row r="26" spans="1:99" x14ac:dyDescent="0.2">
      <c r="A26" s="36" t="s">
        <v>18</v>
      </c>
      <c r="C26" s="28">
        <f>+Northfield!C20</f>
        <v>1697</v>
      </c>
      <c r="D26" s="27"/>
      <c r="E26" s="28">
        <f>+Northfield!E20</f>
        <v>1301</v>
      </c>
      <c r="F26" s="27"/>
      <c r="G26" s="28">
        <f>+Northfield!G20</f>
        <v>39</v>
      </c>
      <c r="H26" s="27"/>
      <c r="I26" s="28">
        <f>+Northfield!I20</f>
        <v>7</v>
      </c>
      <c r="J26" s="27"/>
      <c r="K26" s="28">
        <f>+Northfield!K20</f>
        <v>19</v>
      </c>
      <c r="L26" s="27"/>
      <c r="M26" s="447">
        <f>+Northfield!M20</f>
        <v>30</v>
      </c>
      <c r="N26" s="27"/>
      <c r="O26" s="28">
        <f>+Northfield!O20</f>
        <v>10</v>
      </c>
      <c r="P26" s="27"/>
      <c r="Q26" s="446">
        <f>+Northfield!Q20</f>
        <v>2</v>
      </c>
      <c r="R26" s="27"/>
      <c r="S26" s="28">
        <f>+Northfield!S20</f>
        <v>1398</v>
      </c>
      <c r="T26" s="27"/>
      <c r="U26" s="28">
        <f>+Northfield!U20</f>
        <v>1649</v>
      </c>
      <c r="V26" s="27"/>
      <c r="W26" s="28">
        <f>+Northfield!W20</f>
        <v>12</v>
      </c>
      <c r="X26" s="27"/>
      <c r="Y26" s="28">
        <f>+Northfield!Y20</f>
        <v>7</v>
      </c>
      <c r="Z26" s="27"/>
      <c r="AA26" s="28">
        <f>+Northfield!AA20</f>
        <v>40</v>
      </c>
      <c r="AB26" s="27"/>
      <c r="AC26" s="28">
        <f>+Northfield!AC20</f>
        <v>11</v>
      </c>
      <c r="AD26" s="27"/>
      <c r="AE26" s="28">
        <f>+Northfield!AE20</f>
        <v>1790</v>
      </c>
      <c r="AF26" s="27"/>
      <c r="AG26" s="28">
        <f>+Northfield!AG20</f>
        <v>1281</v>
      </c>
      <c r="AH26" s="27"/>
      <c r="AI26" s="28">
        <f>+Northfield!AI20</f>
        <v>1753</v>
      </c>
      <c r="AJ26" s="27"/>
      <c r="AK26" s="28">
        <f>+Northfield!AK20</f>
        <v>1307</v>
      </c>
      <c r="AL26" s="27"/>
      <c r="AM26" s="28"/>
      <c r="AN26" s="27"/>
      <c r="AO26" s="28"/>
      <c r="AP26" s="27"/>
      <c r="AQ26" s="28">
        <f>+Northfield!BA20</f>
        <v>1157</v>
      </c>
      <c r="AR26" s="27"/>
      <c r="AS26" s="28">
        <f>+Northfield!BC20</f>
        <v>1623</v>
      </c>
      <c r="AT26" s="27"/>
      <c r="AU26" s="32">
        <f>3042+3204</f>
        <v>6246</v>
      </c>
      <c r="AV26" s="27"/>
      <c r="AW26" s="28">
        <f>+Northfield!BE20</f>
        <v>3174</v>
      </c>
      <c r="AX26" s="27"/>
      <c r="AY26" s="28">
        <f>+Northfield!BG20</f>
        <v>453</v>
      </c>
      <c r="AZ26" s="27"/>
      <c r="BA26" s="28">
        <f>+Northfield!BI20</f>
        <v>52</v>
      </c>
      <c r="BB26" s="27"/>
      <c r="BC26" s="28">
        <f>+Northfield!BK20</f>
        <v>0</v>
      </c>
      <c r="BD26" s="27"/>
      <c r="BE26" s="28">
        <f t="shared" si="0"/>
        <v>3679</v>
      </c>
      <c r="BF26" s="26"/>
      <c r="BG26" s="254">
        <f t="shared" si="1"/>
        <v>0.5890169708613513</v>
      </c>
      <c r="BH26" s="26"/>
      <c r="BI26" s="26"/>
      <c r="CT26" s="1"/>
      <c r="CU26" s="1"/>
    </row>
    <row r="27" spans="1:99" x14ac:dyDescent="0.2">
      <c r="A27" s="36" t="s">
        <v>19</v>
      </c>
      <c r="C27" s="28">
        <f>+Pleasantville!C20</f>
        <v>444</v>
      </c>
      <c r="D27" s="27"/>
      <c r="E27" s="28">
        <f>+Pleasantville!E20</f>
        <v>2898</v>
      </c>
      <c r="F27" s="27"/>
      <c r="G27" s="28">
        <f>+Pleasantville!G20</f>
        <v>120</v>
      </c>
      <c r="H27" s="27"/>
      <c r="I27" s="28">
        <f>+Pleasantville!I20</f>
        <v>31</v>
      </c>
      <c r="J27" s="27"/>
      <c r="K27" s="28">
        <f>+Pleasantville!K20</f>
        <v>14</v>
      </c>
      <c r="L27" s="27"/>
      <c r="M27" s="28">
        <f>+Pleasantville!M20</f>
        <v>6</v>
      </c>
      <c r="N27" s="27"/>
      <c r="O27" s="28">
        <f>+Pleasantville!O20</f>
        <v>6</v>
      </c>
      <c r="P27" s="27"/>
      <c r="Q27" s="28">
        <f>+Pleasantville!Q20</f>
        <v>9</v>
      </c>
      <c r="R27" s="27"/>
      <c r="S27" s="28">
        <f>+Pleasantville!S20</f>
        <v>365</v>
      </c>
      <c r="T27" s="27"/>
      <c r="U27" s="28">
        <f>+Pleasantville!U20</f>
        <v>2987</v>
      </c>
      <c r="V27" s="27"/>
      <c r="W27" s="28">
        <f>+Pleasantville!W20</f>
        <v>43</v>
      </c>
      <c r="X27" s="27"/>
      <c r="Y27" s="28">
        <f>+Pleasantville!Y20</f>
        <v>30</v>
      </c>
      <c r="Z27" s="27"/>
      <c r="AA27" s="28">
        <f>+Pleasantville!AA20</f>
        <v>15</v>
      </c>
      <c r="AB27" s="27"/>
      <c r="AC27" s="28">
        <f>+Pleasantville!AC20</f>
        <v>37</v>
      </c>
      <c r="AD27" s="27"/>
      <c r="AE27" s="28">
        <f>+Pleasantville!AE20</f>
        <v>467</v>
      </c>
      <c r="AF27" s="27"/>
      <c r="AG27" s="28">
        <f>+Pleasantville!AG20</f>
        <v>2903</v>
      </c>
      <c r="AH27" s="27"/>
      <c r="AI27" s="28"/>
      <c r="AJ27" s="27"/>
      <c r="AK27" s="28"/>
      <c r="AL27" s="27"/>
      <c r="AM27" s="28"/>
      <c r="AN27" s="27"/>
      <c r="AO27" s="28"/>
      <c r="AP27" s="27"/>
      <c r="AQ27" s="28">
        <f>+Pleasantville!BE20</f>
        <v>1700</v>
      </c>
      <c r="AR27" s="27"/>
      <c r="AS27" s="28">
        <f>+Pleasantville!BG20</f>
        <v>545</v>
      </c>
      <c r="AT27" s="27"/>
      <c r="AU27" s="32">
        <f>5716+5571</f>
        <v>11287</v>
      </c>
      <c r="AV27" s="27"/>
      <c r="AW27" s="28">
        <f>+Pleasantville!BM20</f>
        <v>3693</v>
      </c>
      <c r="AX27" s="27"/>
      <c r="AY27" s="28">
        <f>+Pleasantville!BO20</f>
        <v>869</v>
      </c>
      <c r="AZ27" s="27"/>
      <c r="BA27" s="28">
        <f>+Pleasantville!BQ20</f>
        <v>134</v>
      </c>
      <c r="BB27" s="27"/>
      <c r="BC27" s="28">
        <f>+Pleasantville!BS20</f>
        <v>0</v>
      </c>
      <c r="BD27" s="27"/>
      <c r="BE27" s="28">
        <f t="shared" si="0"/>
        <v>4696</v>
      </c>
      <c r="BF27" s="26"/>
      <c r="BG27" s="254">
        <f t="shared" si="1"/>
        <v>0.41605386728094268</v>
      </c>
      <c r="BH27" s="26"/>
      <c r="BI27" s="26"/>
      <c r="CT27" s="1"/>
      <c r="CU27" s="1"/>
    </row>
    <row r="28" spans="1:99" x14ac:dyDescent="0.2">
      <c r="A28" s="36" t="s">
        <v>20</v>
      </c>
      <c r="C28" s="28">
        <f>+'Port Republic'!C14</f>
        <v>359</v>
      </c>
      <c r="D28" s="27"/>
      <c r="E28" s="28">
        <f>+'Port Republic'!E14</f>
        <v>172</v>
      </c>
      <c r="F28" s="27"/>
      <c r="G28" s="28">
        <f>+'Port Republic'!G14</f>
        <v>3</v>
      </c>
      <c r="H28" s="27"/>
      <c r="I28" s="28">
        <f>+'Port Republic'!I14</f>
        <v>2</v>
      </c>
      <c r="J28" s="27"/>
      <c r="K28" s="28">
        <f>+'Port Republic'!K14</f>
        <v>0</v>
      </c>
      <c r="L28" s="27"/>
      <c r="M28" s="28">
        <f>+'Port Republic'!M14</f>
        <v>4</v>
      </c>
      <c r="N28" s="27"/>
      <c r="O28" s="28">
        <f>+'Port Republic'!O14</f>
        <v>0</v>
      </c>
      <c r="P28" s="27"/>
      <c r="Q28" s="28">
        <f>+'Port Republic'!Q14</f>
        <v>0</v>
      </c>
      <c r="R28" s="27"/>
      <c r="S28" s="28">
        <f>+'Port Republic'!S14</f>
        <v>302</v>
      </c>
      <c r="T28" s="27"/>
      <c r="U28" s="28">
        <f>+'Port Republic'!U14</f>
        <v>237</v>
      </c>
      <c r="V28" s="27"/>
      <c r="W28" s="28">
        <f>+'Port Republic'!W14</f>
        <v>2</v>
      </c>
      <c r="X28" s="27"/>
      <c r="Y28" s="28">
        <f>+'Port Republic'!Y14</f>
        <v>1</v>
      </c>
      <c r="Z28" s="27"/>
      <c r="AA28" s="28">
        <f>+'Port Republic'!AA14</f>
        <v>3</v>
      </c>
      <c r="AB28" s="27"/>
      <c r="AC28" s="28">
        <f>+'Port Republic'!AC14</f>
        <v>0</v>
      </c>
      <c r="AD28" s="27"/>
      <c r="AE28" s="28">
        <f>+'Port Republic'!AE14</f>
        <v>367</v>
      </c>
      <c r="AF28" s="456"/>
      <c r="AG28" s="28">
        <f>+'Port Republic'!AG14</f>
        <v>167</v>
      </c>
      <c r="AH28" s="69"/>
      <c r="AI28" s="28"/>
      <c r="AJ28" s="69"/>
      <c r="AK28" s="28"/>
      <c r="AL28" s="69"/>
      <c r="AM28" s="28"/>
      <c r="AN28" s="69"/>
      <c r="AO28" s="28"/>
      <c r="AP28" s="69"/>
      <c r="AQ28" s="28">
        <f>+'Port Republic'!AW14</f>
        <v>204</v>
      </c>
      <c r="AR28" s="27"/>
      <c r="AS28" s="28">
        <f>+'Port Republic'!AY14</f>
        <v>294</v>
      </c>
      <c r="AT28" s="27"/>
      <c r="AU28" s="32">
        <f>467+455</f>
        <v>922</v>
      </c>
      <c r="AV28" s="27"/>
      <c r="AW28" s="28">
        <f>++'Port Republic'!BA14</f>
        <v>552</v>
      </c>
      <c r="AX28" s="27"/>
      <c r="AY28" s="28">
        <f>++'Port Republic'!BC14</f>
        <v>60</v>
      </c>
      <c r="AZ28" s="27"/>
      <c r="BA28" s="28">
        <f>++'Port Republic'!BE14</f>
        <v>13</v>
      </c>
      <c r="BB28" s="27"/>
      <c r="BC28" s="28">
        <f>++'Port Republic'!BG14</f>
        <v>0</v>
      </c>
      <c r="BD28" s="27"/>
      <c r="BE28" s="28">
        <f t="shared" si="0"/>
        <v>625</v>
      </c>
      <c r="BF28" s="26"/>
      <c r="BG28" s="254">
        <f t="shared" si="1"/>
        <v>0.67787418655097609</v>
      </c>
      <c r="BH28" s="26"/>
      <c r="BI28" s="26"/>
      <c r="CT28" s="1"/>
      <c r="CU28" s="1"/>
    </row>
    <row r="29" spans="1:99" x14ac:dyDescent="0.2">
      <c r="A29" s="36" t="s">
        <v>21</v>
      </c>
      <c r="C29" s="28">
        <f>+'Somers Point'!C20</f>
        <v>1889</v>
      </c>
      <c r="D29" s="27"/>
      <c r="E29" s="28">
        <f>+'Somers Point'!E20</f>
        <v>1516</v>
      </c>
      <c r="F29" s="27"/>
      <c r="G29" s="28">
        <f>+'Somers Point'!G20</f>
        <v>52</v>
      </c>
      <c r="H29" s="27"/>
      <c r="I29" s="28">
        <f>+'Somers Point'!I20</f>
        <v>13</v>
      </c>
      <c r="J29" s="27"/>
      <c r="K29" s="28">
        <f>+'Somers Point'!K20</f>
        <v>22</v>
      </c>
      <c r="L29" s="69"/>
      <c r="M29" s="447">
        <f>+'Somers Point'!M20</f>
        <v>31</v>
      </c>
      <c r="N29" s="27"/>
      <c r="O29" s="28">
        <f>+'Somers Point'!O20</f>
        <v>15</v>
      </c>
      <c r="P29" s="69"/>
      <c r="Q29" s="28">
        <f>+'Somers Point'!Q20</f>
        <v>3</v>
      </c>
      <c r="R29" s="27"/>
      <c r="S29" s="28">
        <f>+'Somers Point'!S20</f>
        <v>1565</v>
      </c>
      <c r="T29" s="27"/>
      <c r="U29" s="28">
        <f>+'Somers Point'!U20</f>
        <v>1917</v>
      </c>
      <c r="V29" s="27"/>
      <c r="W29" s="28">
        <f>+'Somers Point'!W20</f>
        <v>25</v>
      </c>
      <c r="X29" s="27"/>
      <c r="Y29" s="28">
        <f>+'Somers Point'!Y20</f>
        <v>11</v>
      </c>
      <c r="Z29" s="27"/>
      <c r="AA29" s="28">
        <f>+'Somers Point'!AA20</f>
        <v>22</v>
      </c>
      <c r="AB29" s="27"/>
      <c r="AC29" s="28">
        <f>+'Somers Point'!AC20</f>
        <v>8</v>
      </c>
      <c r="AD29" s="27"/>
      <c r="AE29" s="28">
        <f>+'Somers Point'!AE20</f>
        <v>2015</v>
      </c>
      <c r="AF29" s="27"/>
      <c r="AG29" s="28">
        <f>+'Somers Point'!AG20</f>
        <v>1464</v>
      </c>
      <c r="AH29" s="27"/>
      <c r="AI29" s="28">
        <f>+'Somers Point'!AI20</f>
        <v>2042</v>
      </c>
      <c r="AJ29" s="27"/>
      <c r="AK29" s="28">
        <f>+'Somers Point'!AK20</f>
        <v>1441</v>
      </c>
      <c r="AL29" s="27"/>
      <c r="AM29" s="28"/>
      <c r="AN29" s="27"/>
      <c r="AO29" s="28"/>
      <c r="AP29" s="27"/>
      <c r="AQ29" s="28">
        <f>+'Somers Point'!BI20</f>
        <v>1343</v>
      </c>
      <c r="AR29" s="27"/>
      <c r="AS29" s="28">
        <f>+'Somers Point'!BK20</f>
        <v>1672</v>
      </c>
      <c r="AT29" s="27"/>
      <c r="AU29" s="32">
        <f>3743+3524</f>
        <v>7267</v>
      </c>
      <c r="AV29" s="27"/>
      <c r="AW29" s="28">
        <f>+'Somers Point'!BS20</f>
        <v>3623</v>
      </c>
      <c r="AX29" s="27"/>
      <c r="AY29" s="28">
        <f>+'Somers Point'!BU20</f>
        <v>361</v>
      </c>
      <c r="AZ29" s="27"/>
      <c r="BA29" s="28">
        <f>+'Somers Point'!BW20</f>
        <v>77</v>
      </c>
      <c r="BB29" s="27"/>
      <c r="BC29" s="28">
        <f>+'Somers Point'!BY20</f>
        <v>0</v>
      </c>
      <c r="BD29" s="27"/>
      <c r="BE29" s="28">
        <f t="shared" si="0"/>
        <v>4061</v>
      </c>
      <c r="BF29" s="26"/>
      <c r="BG29" s="254">
        <f t="shared" si="1"/>
        <v>0.55882757671666439</v>
      </c>
      <c r="BH29" s="26"/>
      <c r="BI29" s="26"/>
      <c r="CT29" s="1"/>
      <c r="CU29" s="1"/>
    </row>
    <row r="30" spans="1:99" x14ac:dyDescent="0.2">
      <c r="A30" s="36" t="s">
        <v>22</v>
      </c>
      <c r="C30" s="28">
        <f>+Ventnor!C17</f>
        <v>1634</v>
      </c>
      <c r="D30" s="27"/>
      <c r="E30" s="28">
        <f>+Ventnor!E17</f>
        <v>1334</v>
      </c>
      <c r="F30" s="27"/>
      <c r="G30" s="28">
        <f>+Ventnor!G17</f>
        <v>48</v>
      </c>
      <c r="H30" s="27"/>
      <c r="I30" s="28">
        <f>+Ventnor!I17</f>
        <v>9</v>
      </c>
      <c r="J30" s="27"/>
      <c r="K30" s="28">
        <f>+Ventnor!K17</f>
        <v>18</v>
      </c>
      <c r="L30" s="27"/>
      <c r="M30" s="28">
        <f>+Ventnor!M17</f>
        <v>19</v>
      </c>
      <c r="N30" s="27"/>
      <c r="O30" s="28">
        <f>+Ventnor!O17</f>
        <v>11</v>
      </c>
      <c r="P30" s="27"/>
      <c r="Q30" s="28">
        <f>+Ventnor!Q17</f>
        <v>3</v>
      </c>
      <c r="R30" s="27"/>
      <c r="S30" s="28">
        <f>+Ventnor!S17</f>
        <v>1452</v>
      </c>
      <c r="T30" s="27"/>
      <c r="U30" s="28">
        <f>+Ventnor!U17</f>
        <v>1574</v>
      </c>
      <c r="V30" s="27"/>
      <c r="W30" s="28">
        <f>+Ventnor!W17</f>
        <v>18</v>
      </c>
      <c r="X30" s="27"/>
      <c r="Y30" s="28">
        <f>+Ventnor!Y17</f>
        <v>10</v>
      </c>
      <c r="Z30" s="27"/>
      <c r="AA30" s="28">
        <f>+Ventnor!AA17</f>
        <v>10</v>
      </c>
      <c r="AB30" s="27"/>
      <c r="AC30" s="28">
        <f>+Ventnor!AC17</f>
        <v>12</v>
      </c>
      <c r="AD30" s="27"/>
      <c r="AE30" s="28">
        <f>+Ventnor!AE17</f>
        <v>1753</v>
      </c>
      <c r="AF30" s="27"/>
      <c r="AG30" s="28">
        <f>+Ventnor!AG17</f>
        <v>1297</v>
      </c>
      <c r="AH30" s="27"/>
      <c r="AI30" s="28">
        <f>+Ventnor!AI17</f>
        <v>1652</v>
      </c>
      <c r="AJ30" s="27"/>
      <c r="AK30" s="28">
        <f>+Ventnor!AK17</f>
        <v>1377</v>
      </c>
      <c r="AL30" s="27"/>
      <c r="AM30" s="28"/>
      <c r="AN30" s="27"/>
      <c r="AO30" s="28"/>
      <c r="AP30" s="27"/>
      <c r="AQ30" s="28">
        <f>+Ventnor!AM17</f>
        <v>1206</v>
      </c>
      <c r="AR30" s="27"/>
      <c r="AS30" s="28">
        <f>+Ventnor!AO17</f>
        <v>1318</v>
      </c>
      <c r="AT30" s="27"/>
      <c r="AU30" s="56">
        <f>1667+1316+1411+1180+1363</f>
        <v>6937</v>
      </c>
      <c r="AV30" s="27"/>
      <c r="AW30" s="28">
        <f>+Ventnor!AQ17</f>
        <v>3144</v>
      </c>
      <c r="AX30" s="27"/>
      <c r="AY30" s="28">
        <f>+Ventnor!AS17</f>
        <v>504</v>
      </c>
      <c r="AZ30" s="27"/>
      <c r="BA30" s="28">
        <f>+Ventnor!AU17</f>
        <v>70</v>
      </c>
      <c r="BB30" s="27"/>
      <c r="BC30" s="28">
        <f>+Ventnor!AW17</f>
        <v>0</v>
      </c>
      <c r="BD30" s="27"/>
      <c r="BE30" s="28">
        <f>+SUM(AW30:BC30)</f>
        <v>3718</v>
      </c>
      <c r="BF30" s="26"/>
      <c r="BG30" s="254">
        <f t="shared" si="1"/>
        <v>0.53596655614819089</v>
      </c>
      <c r="BH30" s="26"/>
      <c r="BI30" s="26"/>
      <c r="CT30" s="1"/>
      <c r="CU30" s="1"/>
    </row>
    <row r="31" spans="1:99" x14ac:dyDescent="0.2">
      <c r="A31" s="36" t="s">
        <v>23</v>
      </c>
      <c r="C31" s="28">
        <f>+Weymouth!C14</f>
        <v>668</v>
      </c>
      <c r="D31" s="27"/>
      <c r="E31" s="28">
        <f>+Weymouth!E14</f>
        <v>380</v>
      </c>
      <c r="F31" s="27"/>
      <c r="G31" s="28">
        <f>+Weymouth!G14</f>
        <v>17</v>
      </c>
      <c r="H31" s="27"/>
      <c r="I31" s="28">
        <f>+Weymouth!I14</f>
        <v>6</v>
      </c>
      <c r="J31" s="27"/>
      <c r="K31" s="28">
        <f>+Weymouth!K14</f>
        <v>3</v>
      </c>
      <c r="L31" s="27"/>
      <c r="M31" s="28">
        <f>+Weymouth!M14</f>
        <v>7</v>
      </c>
      <c r="N31" s="27"/>
      <c r="O31" s="28">
        <f>+Weymouth!O14</f>
        <v>3</v>
      </c>
      <c r="P31" s="27"/>
      <c r="Q31" s="28">
        <f>+Weymouth!Q14</f>
        <v>1</v>
      </c>
      <c r="R31" s="27"/>
      <c r="S31" s="28">
        <f>+Weymouth!S14</f>
        <v>547</v>
      </c>
      <c r="T31" s="27"/>
      <c r="U31" s="28">
        <f>+Weymouth!U14</f>
        <v>531</v>
      </c>
      <c r="V31" s="27"/>
      <c r="W31" s="28">
        <f>+Weymouth!W14</f>
        <v>4</v>
      </c>
      <c r="X31" s="27"/>
      <c r="Y31" s="28">
        <f>+Weymouth!Y14</f>
        <v>3</v>
      </c>
      <c r="Z31" s="27"/>
      <c r="AA31" s="28">
        <f>+Weymouth!AA14</f>
        <v>4</v>
      </c>
      <c r="AB31" s="27"/>
      <c r="AC31" s="28">
        <f>+Weymouth!AC14</f>
        <v>4</v>
      </c>
      <c r="AD31" s="27"/>
      <c r="AE31" s="28">
        <f>+Weymouth!AE14</f>
        <v>653</v>
      </c>
      <c r="AF31" s="27"/>
      <c r="AG31" s="28">
        <f>+Weymouth!AG14</f>
        <v>411</v>
      </c>
      <c r="AH31" s="27"/>
      <c r="AI31" s="28"/>
      <c r="AJ31" s="27"/>
      <c r="AK31" s="28"/>
      <c r="AL31" s="27"/>
      <c r="AM31" s="28">
        <f>+Weymouth!AI14</f>
        <v>628</v>
      </c>
      <c r="AN31" s="27"/>
      <c r="AO31" s="28">
        <f>+Weymouth!AK14</f>
        <v>436</v>
      </c>
      <c r="AP31" s="27"/>
      <c r="AQ31" s="28">
        <f>+Weymouth!AW14</f>
        <v>353</v>
      </c>
      <c r="AR31" s="27"/>
      <c r="AS31" s="28">
        <f>+Weymouth!AY14</f>
        <v>619</v>
      </c>
      <c r="AT31" s="27"/>
      <c r="AU31" s="32">
        <v>2020</v>
      </c>
      <c r="AV31" s="27"/>
      <c r="AW31" s="28">
        <f>+Weymouth!BA14</f>
        <v>1112</v>
      </c>
      <c r="AX31" s="27"/>
      <c r="AY31" s="28">
        <f>+Weymouth!BC14</f>
        <v>139</v>
      </c>
      <c r="AZ31" s="27"/>
      <c r="BA31" s="28">
        <f>+Weymouth!BE14</f>
        <v>16</v>
      </c>
      <c r="BB31" s="27"/>
      <c r="BC31" s="28">
        <f>+Weymouth!BG14</f>
        <v>0</v>
      </c>
      <c r="BD31" s="27"/>
      <c r="BE31" s="28">
        <f t="shared" si="0"/>
        <v>1267</v>
      </c>
      <c r="BF31" s="26"/>
      <c r="BG31" s="254">
        <f t="shared" si="1"/>
        <v>0.62722772277227723</v>
      </c>
      <c r="BH31" s="26"/>
      <c r="BI31" s="26"/>
      <c r="CT31" s="1"/>
      <c r="CU31" s="1"/>
    </row>
    <row r="32" spans="1:99" ht="13.5" thickBot="1" x14ac:dyDescent="0.25">
      <c r="C32" s="27"/>
      <c r="D32" s="26"/>
      <c r="E32" s="27"/>
      <c r="F32" s="26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V32" s="27"/>
      <c r="AW32" s="27"/>
      <c r="AX32" s="27"/>
      <c r="AY32" s="27"/>
      <c r="AZ32" s="27"/>
      <c r="BA32" s="27"/>
      <c r="BB32" s="26"/>
      <c r="BC32" s="27"/>
      <c r="BD32" s="26"/>
      <c r="BE32" s="27"/>
      <c r="BF32" s="26"/>
      <c r="BG32" s="254"/>
      <c r="BH32" s="26"/>
      <c r="BI32" s="26"/>
      <c r="CT32" s="1"/>
      <c r="CU32" s="1"/>
    </row>
    <row r="33" spans="1:99" s="6" customFormat="1" ht="13.5" thickBot="1" x14ac:dyDescent="0.25">
      <c r="A33" s="3" t="s">
        <v>24</v>
      </c>
      <c r="C33" s="30">
        <f>+SUM(C9:C31)</f>
        <v>40280</v>
      </c>
      <c r="D33" s="24"/>
      <c r="E33" s="30">
        <f>+SUM(E9:E31)</f>
        <v>37401</v>
      </c>
      <c r="F33" s="24"/>
      <c r="G33" s="30">
        <f>+SUM(G9:G31)</f>
        <v>1360</v>
      </c>
      <c r="H33" s="24"/>
      <c r="I33" s="30">
        <f>+SUM(I9:I31)</f>
        <v>379</v>
      </c>
      <c r="J33" s="24"/>
      <c r="K33" s="30">
        <f>+SUM(K9:K31)</f>
        <v>503</v>
      </c>
      <c r="L33" s="24"/>
      <c r="M33" s="30">
        <f>+SUM(M9:M31)</f>
        <v>519</v>
      </c>
      <c r="N33" s="24"/>
      <c r="O33" s="30">
        <f>+SUM(O9:O31)</f>
        <v>199</v>
      </c>
      <c r="P33" s="24"/>
      <c r="Q33" s="30">
        <f>+SUM(Q9:Q31)</f>
        <v>105</v>
      </c>
      <c r="R33" s="24"/>
      <c r="S33" s="30">
        <f>+SUM(S9:S31)</f>
        <v>34470</v>
      </c>
      <c r="T33" s="24"/>
      <c r="U33" s="30">
        <f>+SUM(U9:U31)</f>
        <v>44287</v>
      </c>
      <c r="V33" s="24"/>
      <c r="W33" s="30">
        <f>+SUM(W9:W31)</f>
        <v>495</v>
      </c>
      <c r="X33" s="24"/>
      <c r="Y33" s="30">
        <f>+SUM(Y9:Y31)</f>
        <v>307</v>
      </c>
      <c r="Z33" s="24"/>
      <c r="AA33" s="30">
        <f>+SUM(AA9:AA31)</f>
        <v>491</v>
      </c>
      <c r="AB33" s="24"/>
      <c r="AC33" s="30">
        <f>+SUM(AC9:AC31)</f>
        <v>294</v>
      </c>
      <c r="AD33" s="24"/>
      <c r="AE33" s="30">
        <f>+SUM(AE9:AE31)</f>
        <v>41240</v>
      </c>
      <c r="AF33" s="24"/>
      <c r="AG33" s="30">
        <f>+SUM(AG9:AG31)</f>
        <v>37640</v>
      </c>
      <c r="AH33" s="24"/>
      <c r="AI33" s="30">
        <f>+SUM(AI9:AI31)</f>
        <v>10371</v>
      </c>
      <c r="AJ33" s="24"/>
      <c r="AK33" s="30">
        <f>+SUM(AK9:AK31)</f>
        <v>7523</v>
      </c>
      <c r="AL33" s="24"/>
      <c r="AM33" s="30">
        <f>+SUM(AM9:AM31)</f>
        <v>10131</v>
      </c>
      <c r="AN33" s="24"/>
      <c r="AO33" s="30">
        <f>+SUM(AO9:AO31)</f>
        <v>7171</v>
      </c>
      <c r="AP33" s="24"/>
      <c r="AQ33" s="30">
        <f>+SUM(AQ9:AQ31)</f>
        <v>29534</v>
      </c>
      <c r="AR33" s="24"/>
      <c r="AS33" s="30">
        <f>+SUM(AS9:AS31)</f>
        <v>36543</v>
      </c>
      <c r="AT33" s="24"/>
      <c r="AU33" s="41">
        <f>+SUM(AU9:AU31)</f>
        <v>184782</v>
      </c>
      <c r="AV33" s="24"/>
      <c r="AW33" s="30">
        <f>+SUM(AW9:AW31)</f>
        <v>82713</v>
      </c>
      <c r="AX33" s="24"/>
      <c r="AY33" s="30">
        <f>+SUM(AY9:AY31)</f>
        <v>11768</v>
      </c>
      <c r="AZ33" s="24"/>
      <c r="BA33" s="30">
        <f>+SUM(BA9:BA31)</f>
        <v>2158</v>
      </c>
      <c r="BB33" s="29"/>
      <c r="BC33" s="30">
        <f>+SUM(BC9:BC31)</f>
        <v>0</v>
      </c>
      <c r="BD33" s="29"/>
      <c r="BE33" s="30">
        <f>+SUM(BE9:BE31)</f>
        <v>96639</v>
      </c>
      <c r="BF33" s="29"/>
      <c r="BG33" s="254">
        <f t="shared" si="1"/>
        <v>0.52298925219988956</v>
      </c>
      <c r="BH33" s="29"/>
      <c r="BI33" s="29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</row>
    <row r="34" spans="1:99" x14ac:dyDescent="0.2">
      <c r="A34" s="36" t="s">
        <v>73</v>
      </c>
      <c r="C34" s="38">
        <f>+Absecon!C19+'Atlantic City'!C34+Brigantine!C17+'Buena Borough'!C15+'Buena Vista'!C17+'Corbin City'!C14+'Egg Harbor City'!C19+'Egg Harbor Twp'!C35+'Estell Manor'!C14+Folsom!C14+'Galloway Twp'!C30+'Hamilton Twp'!C26+Hammonton!C20+Linwood!C18+Longport!C14+Margate!C17+Mullica!C16+Northfield!C21+Pleasantville!C21+'Port Republic'!C15+'Somers Point'!C21+Ventnor!C18+Weymouth!C15</f>
        <v>4802</v>
      </c>
      <c r="D34" s="34"/>
      <c r="E34" s="38">
        <f>+Absecon!E19+'Atlantic City'!E34+Brigantine!E17+'Buena Borough'!E15+'Buena Vista'!E17+'Corbin City'!E14+'Egg Harbor City'!E19+'Egg Harbor Twp'!E35+'Estell Manor'!E14+Folsom!E14+'Galloway Twp'!E30+'Hamilton Twp'!E26+Hammonton!E20+Linwood!E18+Longport!E14+Margate!E17+Mullica!E16+Northfield!E21+Pleasantville!E21+'Port Republic'!E15+'Somers Point'!E21+Ventnor!E18+Weymouth!E15</f>
        <v>6079</v>
      </c>
      <c r="F34" s="34"/>
      <c r="G34" s="38">
        <f>+Absecon!G19+'Atlantic City'!G34+Brigantine!G17+'Buena Borough'!G15+'Buena Vista'!G17+'Corbin City'!G14+'Egg Harbor City'!G19+'Egg Harbor Twp'!G35+'Estell Manor'!G14+Folsom!G14+'Galloway Twp'!G30+'Hamilton Twp'!G26+Hammonton!G20+Linwood!G18+Longport!G14+Margate!G17+Mullica!G16+Northfield!G21+Pleasantville!G21+'Port Republic'!G15+'Somers Point'!G21+Ventnor!G18+Weymouth!G15</f>
        <v>152</v>
      </c>
      <c r="H34" s="34"/>
      <c r="I34" s="38">
        <f>+Absecon!I19+'Atlantic City'!I34+Brigantine!I17+'Buena Borough'!I15+'Buena Vista'!I17+'Corbin City'!I14+'Egg Harbor City'!I19+'Egg Harbor Twp'!I35+'Estell Manor'!I14+Folsom!I14+'Galloway Twp'!I30+'Hamilton Twp'!I26+Hammonton!I20+Linwood!I18+Longport!I14+Margate!I17+Mullica!I16+Northfield!I21+Pleasantville!I21+'Port Republic'!I15+'Somers Point'!I21+Ventnor!I18+Weymouth!I15</f>
        <v>25</v>
      </c>
      <c r="J34" s="34"/>
      <c r="K34" s="38">
        <f>+Absecon!K19+'Atlantic City'!K34+Brigantine!K17+'Buena Borough'!K15+'Buena Vista'!K17+'Corbin City'!K14+'Egg Harbor City'!K19+'Egg Harbor Twp'!K35+'Estell Manor'!K14+Folsom!K14+'Galloway Twp'!K30+'Hamilton Twp'!K26+Hammonton!K20+Linwood!K18+Longport!K14+Margate!K17+Mullica!K16+Northfield!K21+Pleasantville!K21+'Port Republic'!K15+'Somers Point'!K21+Ventnor!K18+Weymouth!K15</f>
        <v>56</v>
      </c>
      <c r="L34" s="34"/>
      <c r="M34" s="38">
        <f>+Absecon!M19+'Atlantic City'!M34+Brigantine!M17+'Buena Borough'!M15+'Buena Vista'!M17+'Corbin City'!M14+'Egg Harbor City'!M19+'Egg Harbor Twp'!M35+'Estell Manor'!M14+Folsom!M14+'Galloway Twp'!M30+'Hamilton Twp'!M26+Hammonton!M20+Linwood!M18+Longport!M14+Margate!M17+Mullica!M16+Northfield!M21+Pleasantville!M21+'Port Republic'!M15+'Somers Point'!M21+Ventnor!M18+Weymouth!M15</f>
        <v>71</v>
      </c>
      <c r="N34" s="34"/>
      <c r="O34" s="38">
        <f>+Absecon!O19+'Atlantic City'!O34+Brigantine!O17+'Buena Borough'!O15+'Buena Vista'!O17+'Corbin City'!O14+'Egg Harbor City'!O19+'Egg Harbor Twp'!O35+'Estell Manor'!O14+Folsom!O14+'Galloway Twp'!O30+'Hamilton Twp'!O26+Hammonton!O20+Linwood!O18+Longport!O14+Margate!O17+Mullica!O16+Northfield!O21+Pleasantville!O21+'Port Republic'!O15+'Somers Point'!O21+Ventnor!O18+Weymouth!O15</f>
        <v>23</v>
      </c>
      <c r="P34" s="34"/>
      <c r="Q34" s="38">
        <f>+Absecon!Q19+'Atlantic City'!Q34+Brigantine!Q17+'Buena Borough'!Q15+'Buena Vista'!Q17+'Corbin City'!Q14+'Egg Harbor City'!Q19+'Egg Harbor Twp'!Q35+'Estell Manor'!Q14+Folsom!Q14+'Galloway Twp'!Q30+'Hamilton Twp'!Q26+Hammonton!Q20+Linwood!Q18+Longport!Q14+Margate!Q17+Mullica!Q16+Northfield!Q21+Pleasantville!Q21+'Port Republic'!Q15+'Somers Point'!Q21+Ventnor!Q18+Weymouth!Q15</f>
        <v>14</v>
      </c>
      <c r="R34" s="34"/>
      <c r="S34" s="38">
        <f>+Absecon!S19+'Atlantic City'!S34+Brigantine!S17+'Buena Borough'!S15+'Buena Vista'!S17+'Corbin City'!S14+'Egg Harbor City'!S19+'Egg Harbor Twp'!S35+'Estell Manor'!S14+Folsom!S14+'Galloway Twp'!S30+'Hamilton Twp'!S26+Hammonton!S20+Linwood!S18+Longport!S14+Margate!S17+Mullica!S16+Northfield!S21+Pleasantville!S21+'Port Republic'!S15+'Somers Point'!S21+Ventnor!S18+Weymouth!S15</f>
        <v>3894</v>
      </c>
      <c r="T34" s="34"/>
      <c r="U34" s="38">
        <f>+Absecon!U19+'Atlantic City'!U34+Brigantine!U17+'Buena Borough'!U15+'Buena Vista'!U17+'Corbin City'!U14+'Egg Harbor City'!U19+'Egg Harbor Twp'!U35+'Estell Manor'!U14+Folsom!U14+'Galloway Twp'!U30+'Hamilton Twp'!U26+Hammonton!U20+Linwood!U18+Longport!U14+Margate!U17+Mullica!U16+Northfield!U21+Pleasantville!U21+'Port Republic'!U15+'Somers Point'!U21+Ventnor!U18+Weymouth!U15</f>
        <v>7276</v>
      </c>
      <c r="V34" s="34"/>
      <c r="W34" s="38">
        <f>+Absecon!W19+'Atlantic City'!W34+Brigantine!W17+'Buena Borough'!W15+'Buena Vista'!W17+'Corbin City'!W14+'Egg Harbor City'!W19+'Egg Harbor Twp'!W35+'Estell Manor'!W14+Folsom!W14+'Galloway Twp'!W30+'Hamilton Twp'!W26+Hammonton!W20+Linwood!W18+Longport!W14+Margate!W17+Mullica!W16+Northfield!W21+Pleasantville!W21+'Port Republic'!W15+'Somers Point'!W21+Ventnor!W18+Weymouth!W15</f>
        <v>82</v>
      </c>
      <c r="X34" s="34"/>
      <c r="Y34" s="38">
        <f>+Absecon!Y19+'Atlantic City'!Y34+Brigantine!Y17+'Buena Borough'!Y15+'Buena Vista'!Y17+'Corbin City'!Y14+'Egg Harbor City'!Y19+'Egg Harbor Twp'!Y35+'Estell Manor'!Y14+Folsom!Y14+'Galloway Twp'!Y30+'Hamilton Twp'!Y26+Hammonton!Y20+Linwood!Y18+Longport!Y14+Margate!Y17+Mullica!Y16+Northfield!Y21+Pleasantville!Y21+'Port Republic'!Y15+'Somers Point'!Y21+Ventnor!Y18+Weymouth!Y15</f>
        <v>23</v>
      </c>
      <c r="Z34" s="34"/>
      <c r="AA34" s="38">
        <f>+Absecon!AA19+'Atlantic City'!AA34+Brigantine!AA17+'Buena Borough'!AA15+'Buena Vista'!AA17+'Corbin City'!AA14+'Egg Harbor City'!AA19+'Egg Harbor Twp'!AA35+'Estell Manor'!AA14+Folsom!AA14+'Galloway Twp'!AA30+'Hamilton Twp'!AA26+Hammonton!AA20+Linwood!AA18+Longport!AA14+Margate!AA17+Mullica!AA16+Northfield!AA21+Pleasantville!AA21+'Port Republic'!AA15+'Somers Point'!AA21+Ventnor!AA18+Weymouth!AA15</f>
        <v>46</v>
      </c>
      <c r="AB34" s="34"/>
      <c r="AC34" s="38">
        <f>+Absecon!AC19+'Atlantic City'!AC34+Brigantine!AC17+'Buena Borough'!AC15+'Buena Vista'!AC17+'Corbin City'!AC14+'Egg Harbor City'!AC19+'Egg Harbor Twp'!AC35+'Estell Manor'!AC14+Folsom!AC14+'Galloway Twp'!AC30+'Hamilton Twp'!AC26+Hammonton!AC20+Linwood!AC18+Longport!AC14+Margate!AC17+Mullica!AC16+Northfield!AC21+Pleasantville!AC21+'Port Republic'!AC15+'Somers Point'!AC21+Ventnor!AC18+Weymouth!AC15</f>
        <v>49</v>
      </c>
      <c r="AD34" s="34"/>
      <c r="AE34" s="38">
        <f>+Absecon!AE19+'Atlantic City'!AE34+Brigantine!AE17+'Buena Borough'!AE15+'Buena Vista'!AE17+'Corbin City'!AE14+'Egg Harbor City'!AE19+'Egg Harbor Twp'!AE35+'Estell Manor'!AE14+Folsom!AE14+'Galloway Twp'!AE30+'Hamilton Twp'!AE26+Hammonton!AE20+Linwood!AE18+Longport!AE14+Margate!AE17+Mullica!AE16+Northfield!AE21+Pleasantville!AE21+'Port Republic'!AE15+'Somers Point'!AE21+Ventnor!AE18+Weymouth!AE15</f>
        <v>4864</v>
      </c>
      <c r="AF34" s="34"/>
      <c r="AG34" s="38">
        <f>+Absecon!AG19+'Atlantic City'!AG34+Brigantine!AG17+'Buena Borough'!AG15+'Buena Vista'!AG17+'Corbin City'!AG14+'Egg Harbor City'!AG19+'Egg Harbor Twp'!AG35+'Estell Manor'!AG14+Folsom!AG14+'Galloway Twp'!AG30+'Hamilton Twp'!AG26+Hammonton!AG20+Linwood!AG18+Longport!AG14+Margate!AG17+Mullica!AG16+Northfield!AG21+Pleasantville!AG21+'Port Republic'!AG15+'Somers Point'!AG21+Ventnor!AG18+Weymouth!AG15</f>
        <v>6411</v>
      </c>
      <c r="AH34" s="34"/>
      <c r="AI34" s="38">
        <f>+'Atlantic City'!AI34+'Egg Harbor Twp'!AI35+Linwood!AI18+Longport!AI14+Margate!AI17+Northfield!AI21+'Somers Point'!AI21+Ventnor!AI18</f>
        <v>1305</v>
      </c>
      <c r="AJ34" s="34"/>
      <c r="AK34" s="38">
        <f>+'Atlantic City'!AK34+'Egg Harbor Twp'!AK35+Linwood!AK18+Longport!AK14+Margate!AK17+Northfield!AK21+'Somers Point'!AK21+Ventnor!AK18</f>
        <v>1401</v>
      </c>
      <c r="AL34" s="34"/>
      <c r="AM34" s="38">
        <f>+'Buena Borough'!AI15+'Buena Vista'!AI17+'Corbin City'!AI14+'Egg Harbor City'!AI19+'Estell Manor'!AI14+Folsom!AI14+'Hamilton Twp'!AI26+Hammonton!AI20+Mullica!AI16+Weymouth!AI15</f>
        <v>1056</v>
      </c>
      <c r="AN34" s="34"/>
      <c r="AO34" s="38">
        <f>+'Buena Borough'!AK15+'Buena Vista'!AK17+'Corbin City'!AK14+'Egg Harbor City'!AK19+'Estell Manor'!AK14+Folsom!AK14+'Hamilton Twp'!AK26+Hammonton!AK20+Mullica!AK16+Weymouth!AK15</f>
        <v>922</v>
      </c>
      <c r="AP34" s="34"/>
      <c r="AQ34" s="38">
        <f>+Absecon!AW19+'Atlantic City'!AY34+Brigantine!AU17+'Buena Borough'!AU15+'Buena Vista'!BG17+'Corbin City'!AU14+'Egg Harbor City'!BE19+'Egg Harbor Twp'!BU35+'Estell Manor'!AU14+Folsom!BA14+'Galloway Twp'!AQ30+'Hamilton Twp'!BI26+Hammonton!BS20+Linwood!BE18+Longport!AO14+Margate!AM17+Mullica!BC16+Northfield!BA21+Pleasantville!BE21+'Port Republic'!AW15+'Somers Point'!BI21+Ventnor!AM18+Weymouth!AW15</f>
        <v>6126</v>
      </c>
      <c r="AR34" s="34"/>
      <c r="AS34" s="38">
        <f>+Absecon!AY19+'Atlantic City'!BA34+Brigantine!AW17+'Buena Borough'!AW15+'Buena Vista'!BI17+'Corbin City'!AW14+'Egg Harbor City'!BG19+'Egg Harbor Twp'!BW35+'Estell Manor'!AW14+Folsom!BC14+'Galloway Twp'!AS30+'Hamilton Twp'!BK26+Hammonton!BU20+Linwood!BG18+Longport!AQ14+Margate!AO17+Mullica!BE16+Northfield!BC21+Pleasantville!BG21+'Port Republic'!AY15+'Somers Point'!BK21+Ventnor!AO18+Weymouth!AY15</f>
        <v>4064</v>
      </c>
      <c r="AT34" s="34"/>
      <c r="AV34" s="27"/>
      <c r="AW34" s="27"/>
      <c r="AX34" s="27"/>
      <c r="AY34" s="27"/>
      <c r="AZ34" s="27"/>
      <c r="BA34" s="27"/>
      <c r="BB34" s="26"/>
      <c r="BC34" s="27"/>
      <c r="BD34" s="26"/>
      <c r="BE34" s="27"/>
      <c r="BF34" s="26"/>
      <c r="BH34" s="26"/>
      <c r="BI34" s="26"/>
      <c r="BJ34" s="26"/>
      <c r="BK34" s="26"/>
    </row>
    <row r="35" spans="1:99" x14ac:dyDescent="0.2">
      <c r="A35" s="4" t="s">
        <v>25</v>
      </c>
      <c r="C35" s="34">
        <f>+Absecon!C20+'Atlantic City'!C35+Brigantine!C18+'Buena Borough'!C16+'Buena Vista'!C18+'Corbin City'!C15+'Egg Harbor City'!C20+'Egg Harbor Twp'!C36+'Estell Manor'!C15+Folsom!C15+'Galloway Twp'!C31+'Hamilton Twp'!C27+Hammonton!C21+Linwood!C19+Longport!C15+Margate!C18+Mullica!C17+Northfield!C22+Pleasantville!C22+'Port Republic'!C16+'Somers Point'!C22+Ventnor!C19+Weymouth!C16</f>
        <v>828</v>
      </c>
      <c r="D35" s="34"/>
      <c r="E35" s="34">
        <f>+Absecon!E20+'Atlantic City'!E35+Brigantine!E18+'Buena Borough'!E16+'Buena Vista'!E18+'Corbin City'!E15+'Egg Harbor City'!E20+'Egg Harbor Twp'!E36+'Estell Manor'!E15+Folsom!E15+'Galloway Twp'!E31+'Hamilton Twp'!E27+Hammonton!E21+Linwood!E19+Longport!E15+Margate!E18+Mullica!E17+Northfield!E22+Pleasantville!E22+'Port Republic'!E16+'Somers Point'!E22+Ventnor!E19+Weymouth!E16</f>
        <v>1027</v>
      </c>
      <c r="F35" s="34"/>
      <c r="G35" s="34">
        <f>+Absecon!G20+'Atlantic City'!G35+Brigantine!G18+'Buena Borough'!G16+'Buena Vista'!G18+'Corbin City'!G15+'Egg Harbor City'!G20+'Egg Harbor Twp'!G36+'Estell Manor'!G15+Folsom!G15+'Galloway Twp'!G31+'Hamilton Twp'!G27+Hammonton!G21+Linwood!G19+Longport!G15+Margate!G18+Mullica!G17+Northfield!G22+Pleasantville!G22+'Port Republic'!G16+'Somers Point'!G22+Ventnor!G19+Weymouth!G16</f>
        <v>50</v>
      </c>
      <c r="H35" s="34"/>
      <c r="I35" s="34">
        <f>+Absecon!I20+'Atlantic City'!I35+Brigantine!I18+'Buena Borough'!I16+'Buena Vista'!I18+'Corbin City'!I15+'Egg Harbor City'!I20+'Egg Harbor Twp'!I36+'Estell Manor'!I15+Folsom!I15+'Galloway Twp'!I31+'Hamilton Twp'!I27+Hammonton!I21+Linwood!I19+Longport!I15+Margate!I18+Mullica!I17+Northfield!I22+Pleasantville!I22+'Port Republic'!I16+'Somers Point'!I22+Ventnor!I19+Weymouth!I16</f>
        <v>9</v>
      </c>
      <c r="J35" s="34"/>
      <c r="K35" s="34">
        <f>+Absecon!K20+'Atlantic City'!K35+Brigantine!K18+'Buena Borough'!K16+'Buena Vista'!K18+'Corbin City'!K15+'Egg Harbor City'!K20+'Egg Harbor Twp'!K36+'Estell Manor'!K15+Folsom!K15+'Galloway Twp'!K31+'Hamilton Twp'!K27+Hammonton!K21+Linwood!K19+Longport!K15+Margate!K18+Mullica!K17+Northfield!K22+Pleasantville!K22+'Port Republic'!K16+'Somers Point'!K22+Ventnor!K19+Weymouth!K16</f>
        <v>10</v>
      </c>
      <c r="L35" s="34"/>
      <c r="M35" s="34">
        <f>+Absecon!M20+'Atlantic City'!M35+Brigantine!M18+'Buena Borough'!M16+'Buena Vista'!M18+'Corbin City'!M15+'Egg Harbor City'!M20+'Egg Harbor Twp'!M36+'Estell Manor'!M15+Folsom!M15+'Galloway Twp'!M31+'Hamilton Twp'!M27+Hammonton!M21+Linwood!M19+Longport!M15+Margate!M18+Mullica!M17+Northfield!M22+Pleasantville!M22+'Port Republic'!M16+'Somers Point'!M22+Ventnor!M19+Weymouth!M16</f>
        <v>16</v>
      </c>
      <c r="N35" s="34"/>
      <c r="O35" s="34">
        <f>+Absecon!O20+'Atlantic City'!O35+Brigantine!O18+'Buena Borough'!O16+'Buena Vista'!O18+'Corbin City'!O15+'Egg Harbor City'!O20+'Egg Harbor Twp'!O36+'Estell Manor'!O15+Folsom!O15+'Galloway Twp'!O31+'Hamilton Twp'!O27+Hammonton!O21+Linwood!O19+Longport!O15+Margate!O18+Mullica!O17+Northfield!O22+Pleasantville!O22+'Port Republic'!O16+'Somers Point'!O22+Ventnor!O19+Weymouth!O16</f>
        <v>8</v>
      </c>
      <c r="P35" s="34"/>
      <c r="Q35" s="34">
        <f>+Absecon!Q20+'Atlantic City'!Q35+Brigantine!Q18+'Buena Borough'!Q16+'Buena Vista'!Q18+'Corbin City'!Q15+'Egg Harbor City'!Q20+'Egg Harbor Twp'!Q36+'Estell Manor'!Q15+Folsom!Q15+'Galloway Twp'!Q31+'Hamilton Twp'!Q27+Hammonton!Q21+Linwood!Q19+Longport!Q15+Margate!Q18+Mullica!Q17+Northfield!Q22+Pleasantville!Q22+'Port Republic'!Q16+'Somers Point'!Q22+Ventnor!Q19+Weymouth!Q16</f>
        <v>1</v>
      </c>
      <c r="R35" s="34"/>
      <c r="S35" s="34">
        <f>+Absecon!S20+'Atlantic City'!S35+Brigantine!S18+'Buena Borough'!S16+'Buena Vista'!S18+'Corbin City'!S15+'Egg Harbor City'!S20+'Egg Harbor Twp'!S36+'Estell Manor'!S15+Folsom!S15+'Galloway Twp'!S31+'Hamilton Twp'!S27+Hammonton!S21+Linwood!S19+Longport!S15+Margate!S18+Mullica!S17+Northfield!S22+Pleasantville!S22+'Port Republic'!S16+'Somers Point'!S22+Ventnor!S19+Weymouth!S16</f>
        <v>709</v>
      </c>
      <c r="T35" s="34"/>
      <c r="U35" s="34">
        <f>+Absecon!U20+'Atlantic City'!U35+Brigantine!U18+'Buena Borough'!U16+'Buena Vista'!U18+'Corbin City'!U15+'Egg Harbor City'!U20+'Egg Harbor Twp'!U36+'Estell Manor'!U15+Folsom!U15+'Galloway Twp'!U31+'Hamilton Twp'!U27+Hammonton!U21+Linwood!U19+Longport!U15+Margate!U18+Mullica!U17+Northfield!U22+Pleasantville!U22+'Port Republic'!U16+'Somers Point'!U22+Ventnor!U19+Weymouth!U16</f>
        <v>1243</v>
      </c>
      <c r="V35" s="34"/>
      <c r="W35" s="34">
        <f>+Absecon!W20+'Atlantic City'!W35+Brigantine!W18+'Buena Borough'!W16+'Buena Vista'!W18+'Corbin City'!W15+'Egg Harbor City'!W20+'Egg Harbor Twp'!W36+'Estell Manor'!W15+Folsom!W15+'Galloway Twp'!W31+'Hamilton Twp'!W27+Hammonton!W21+Linwood!W19+Longport!W15+Margate!W18+Mullica!W17+Northfield!W22+Pleasantville!W22+'Port Republic'!W16+'Somers Point'!W22+Ventnor!W19+Weymouth!W16</f>
        <v>14</v>
      </c>
      <c r="X35" s="34"/>
      <c r="Y35" s="34">
        <f>+Absecon!Y20+'Atlantic City'!Y35+Brigantine!Y18+'Buena Borough'!Y16+'Buena Vista'!Y18+'Corbin City'!Y15+'Egg Harbor City'!Y20+'Egg Harbor Twp'!Y36+'Estell Manor'!Y15+Folsom!Y15+'Galloway Twp'!Y31+'Hamilton Twp'!Y27+Hammonton!Y21+Linwood!Y19+Longport!Y15+Margate!Y18+Mullica!Y17+Northfield!Y22+Pleasantville!Y22+'Port Republic'!Y16+'Somers Point'!Y22+Ventnor!Y19+Weymouth!Y16</f>
        <v>5</v>
      </c>
      <c r="Z35" s="34"/>
      <c r="AA35" s="34">
        <f>+Absecon!AA20+'Atlantic City'!AA35+Brigantine!AA18+'Buena Borough'!AA16+'Buena Vista'!AA18+'Corbin City'!AA15+'Egg Harbor City'!AA20+'Egg Harbor Twp'!AA36+'Estell Manor'!AA15+Folsom!AA15+'Galloway Twp'!AA31+'Hamilton Twp'!AA27+Hammonton!AA21+Linwood!AA19+Longport!AA15+Margate!AA18+Mullica!AA17+Northfield!AA22+Pleasantville!AA22+'Port Republic'!AA16+'Somers Point'!AA22+Ventnor!AA19+Weymouth!AA16</f>
        <v>14</v>
      </c>
      <c r="AB35" s="34"/>
      <c r="AC35" s="34">
        <f>+Absecon!AC20+'Atlantic City'!AC35+Brigantine!AC18+'Buena Borough'!AC16+'Buena Vista'!AC18+'Corbin City'!AC15+'Egg Harbor City'!AC20+'Egg Harbor Twp'!AC36+'Estell Manor'!AC15+Folsom!AC15+'Galloway Twp'!AC31+'Hamilton Twp'!AC27+Hammonton!AC21+Linwood!AC19+Longport!AC15+Margate!AC18+Mullica!AC17+Northfield!AC22+Pleasantville!AC22+'Port Republic'!AC16+'Somers Point'!AC22+Ventnor!AC19+Weymouth!AC16</f>
        <v>11</v>
      </c>
      <c r="AD35" s="34"/>
      <c r="AE35" s="34">
        <f>+Absecon!AE20+'Atlantic City'!AE35+Brigantine!AE18+'Buena Borough'!AE16+'Buena Vista'!AE18+'Corbin City'!AE15+'Egg Harbor City'!AE20+'Egg Harbor Twp'!AE36+'Estell Manor'!AE15+Folsom!AE15+'Galloway Twp'!AE31+'Hamilton Twp'!AE27+Hammonton!AE21+Linwood!AE19+Longport!AE15+Margate!AE18+Mullica!AE17+Northfield!AE22+Pleasantville!AE22+'Port Republic'!AE16+'Somers Point'!AE22+Ventnor!AE19+Weymouth!AE16</f>
        <v>851</v>
      </c>
      <c r="AF35" s="34"/>
      <c r="AG35" s="34">
        <f>+Absecon!AG20+'Atlantic City'!AG35+Brigantine!AG18+'Buena Borough'!AG16+'Buena Vista'!AG18+'Corbin City'!AG15+'Egg Harbor City'!AG20+'Egg Harbor Twp'!AG36+'Estell Manor'!AG15+Folsom!AG15+'Galloway Twp'!AG31+'Hamilton Twp'!AG27+Hammonton!AG21+Linwood!AG19+Longport!AG15+Margate!AG18+Mullica!AG17+Northfield!AG22+Pleasantville!AG22+'Port Republic'!AG16+'Somers Point'!AG22+Ventnor!AG19+Weymouth!AG16</f>
        <v>1141</v>
      </c>
      <c r="AH35" s="34"/>
      <c r="AI35" s="34">
        <f>+'Atlantic City'!AI35+'Egg Harbor Twp'!AI36+Linwood!AI19+Longport!AI15+Margate!AI18+Northfield!AI22+'Somers Point'!AI22+Ventnor!AI19</f>
        <v>213</v>
      </c>
      <c r="AJ35" s="34"/>
      <c r="AK35" s="34">
        <f>+'Atlantic City'!AK35+'Egg Harbor Twp'!AK36+Linwood!AK19+Longport!AK15+Margate!AK18+Northfield!AK22+'Somers Point'!AK22+Ventnor!AK19</f>
        <v>200</v>
      </c>
      <c r="AL35" s="34"/>
      <c r="AM35" s="34">
        <f>+'Buena Borough'!AI16+'Buena Vista'!AI18+'Corbin City'!AI15+'Egg Harbor City'!AI20+'Estell Manor'!AI15+Folsom!AI15+'Hamilton Twp'!AI27+Hammonton!AI21+Mullica!AI17+Weymouth!AI16</f>
        <v>176</v>
      </c>
      <c r="AN35" s="34"/>
      <c r="AO35" s="34">
        <f>+'Buena Borough'!AK16+'Buena Vista'!AK18+'Corbin City'!AK15+'Egg Harbor City'!AK20+'Estell Manor'!AK15+Folsom!AK15+'Hamilton Twp'!AK27+Hammonton!AK21+Mullica!AK17+Weymouth!AK16</f>
        <v>167</v>
      </c>
      <c r="AP35" s="34"/>
      <c r="AQ35" s="34">
        <f>+Absecon!AW20+'Atlantic City'!AY35+Brigantine!AU18+'Buena Borough'!AU16+'Buena Vista'!BG18+'Corbin City'!AU15+'Egg Harbor City'!BE20+'Egg Harbor Twp'!BU36+'Estell Manor'!AU15+Folsom!BA15+'Galloway Twp'!AQ31+'Hamilton Twp'!BI27+Hammonton!BS21+Linwood!BE19+Longport!AO15+Margate!AM18+Mullica!BC17+Northfield!BA22+Pleasantville!BE22+'Port Republic'!AW16+'Somers Point'!BI22+Ventnor!AM19+Weymouth!AW16</f>
        <v>923</v>
      </c>
      <c r="AR35" s="34"/>
      <c r="AS35" s="34">
        <f>+Absecon!AY20+'Atlantic City'!BA35+Brigantine!AW18+'Buena Borough'!AW16+'Buena Vista'!BI18+'Corbin City'!AW15+'Egg Harbor City'!BG20+'Egg Harbor Twp'!BW36+'Estell Manor'!AW15+Folsom!BC15+'Galloway Twp'!AS31+'Hamilton Twp'!BK27+Hammonton!BU21+Linwood!BG19+Longport!AQ15+Margate!AO18+Mullica!BE17+Northfield!BC22+Pleasantville!BG22+'Port Republic'!AY16+'Somers Point'!BK22+Ventnor!AO19+Weymouth!AY16</f>
        <v>723</v>
      </c>
      <c r="AT35" s="34"/>
      <c r="AV35" s="27"/>
      <c r="AW35" s="27"/>
      <c r="AX35" s="27"/>
      <c r="AY35" s="27"/>
      <c r="AZ35" s="27"/>
      <c r="BA35" s="27"/>
      <c r="BB35" s="26"/>
      <c r="BC35" s="27"/>
      <c r="BD35" s="26"/>
      <c r="BE35" s="27"/>
      <c r="BF35" s="26"/>
      <c r="BH35" s="26"/>
      <c r="BI35" s="26"/>
      <c r="BJ35" s="26"/>
      <c r="BK35" s="26"/>
    </row>
    <row r="36" spans="1:99" ht="13.5" thickBot="1" x14ac:dyDescent="0.25">
      <c r="A36" s="4" t="s">
        <v>79</v>
      </c>
      <c r="C36" s="34">
        <f>+Absecon!C21+'Atlantic City'!C36+Brigantine!C19+'Buena Borough'!C17+'Buena Vista'!C19+'Corbin City'!C16+'Egg Harbor City'!C21+'Egg Harbor Twp'!C37+'Estell Manor'!C16+Folsom!C16+'Galloway Twp'!C32+'Hamilton Twp'!C28+Hammonton!C22+Linwood!C20+Longport!C16+Margate!C19+Mullica!C18+Northfield!C23+Pleasantville!C23+'Port Republic'!C17+'Somers Point'!C23+Ventnor!C20+Weymouth!C17</f>
        <v>44</v>
      </c>
      <c r="D36" s="34"/>
      <c r="E36" s="34">
        <f>+Absecon!E21+'Atlantic City'!E36+Brigantine!E19+'Buena Borough'!E17+'Buena Vista'!E19+'Corbin City'!E16+'Egg Harbor City'!E21+'Egg Harbor Twp'!E37+'Estell Manor'!E16+Folsom!E16+'Galloway Twp'!E32+'Hamilton Twp'!E28+Hammonton!E22+Linwood!E20+Longport!E16+Margate!E19+Mullica!E18+Northfield!E23+Pleasantville!E23+'Port Republic'!E17+'Somers Point'!E23+Ventnor!E20+Weymouth!E17</f>
        <v>110</v>
      </c>
      <c r="F36" s="34"/>
      <c r="G36" s="34">
        <f>+Absecon!G21+'Atlantic City'!G36+Brigantine!G19+'Buena Borough'!G17+'Buena Vista'!G19+'Corbin City'!G16+'Egg Harbor City'!G21+'Egg Harbor Twp'!G37+'Estell Manor'!G16+Folsom!G16+'Galloway Twp'!G32+'Hamilton Twp'!G28+Hammonton!G22+Linwood!G20+Longport!G16+Margate!G19+Mullica!G18+Northfield!G23+Pleasantville!G23+'Port Republic'!G17+'Somers Point'!G23+Ventnor!G20+Weymouth!G17</f>
        <v>2</v>
      </c>
      <c r="H36" s="34"/>
      <c r="I36" s="34">
        <f>+Absecon!I21+'Atlantic City'!I36+Brigantine!I19+'Buena Borough'!I17+'Buena Vista'!I19+'Corbin City'!I16+'Egg Harbor City'!I21+'Egg Harbor Twp'!I37+'Estell Manor'!I16+Folsom!I16+'Galloway Twp'!I32+'Hamilton Twp'!I28+Hammonton!I22+Linwood!I20+Longport!I16+Margate!I19+Mullica!I18+Northfield!I23+Pleasantville!I23+'Port Republic'!I17+'Somers Point'!I23+Ventnor!I20+Weymouth!I17</f>
        <v>0</v>
      </c>
      <c r="J36" s="34"/>
      <c r="K36" s="34">
        <f>+Absecon!K21+'Atlantic City'!K36+Brigantine!K19+'Buena Borough'!K17+'Buena Vista'!K19+'Corbin City'!K16+'Egg Harbor City'!K21+'Egg Harbor Twp'!K37+'Estell Manor'!K16+Folsom!K16+'Galloway Twp'!K32+'Hamilton Twp'!K28+Hammonton!K22+Linwood!K20+Longport!K16+Margate!K19+Mullica!K18+Northfield!K23+Pleasantville!K23+'Port Republic'!K17+'Somers Point'!K23+Ventnor!K20+Weymouth!K17</f>
        <v>0</v>
      </c>
      <c r="L36" s="34"/>
      <c r="M36" s="34">
        <f>+Absecon!M21+'Atlantic City'!M36+Brigantine!M19+'Buena Borough'!M17+'Buena Vista'!M19+'Corbin City'!M16+'Egg Harbor City'!M21+'Egg Harbor Twp'!M37+'Estell Manor'!M16+Folsom!M16+'Galloway Twp'!M32+'Hamilton Twp'!M28+Hammonton!M22+Linwood!M20+Longport!M16+Margate!M19+Mullica!M18+Northfield!M23+Pleasantville!M23+'Port Republic'!M17+'Somers Point'!M23+Ventnor!M20+Weymouth!M17</f>
        <v>0</v>
      </c>
      <c r="N36" s="34"/>
      <c r="O36" s="34">
        <f>+Absecon!O21+'Atlantic City'!O36+Brigantine!O19+'Buena Borough'!O17+'Buena Vista'!O19+'Corbin City'!O16+'Egg Harbor City'!O21+'Egg Harbor Twp'!O37+'Estell Manor'!O16+Folsom!O16+'Galloway Twp'!O32+'Hamilton Twp'!O28+Hammonton!O22+Linwood!O20+Longport!O16+Margate!O19+Mullica!O18+Northfield!O23+Pleasantville!O23+'Port Republic'!O17+'Somers Point'!O23+Ventnor!O20+Weymouth!O17</f>
        <v>0</v>
      </c>
      <c r="P36" s="34"/>
      <c r="Q36" s="34">
        <f>+Absecon!Q21+'Atlantic City'!Q36+Brigantine!Q19+'Buena Borough'!Q17+'Buena Vista'!Q19+'Corbin City'!Q16+'Egg Harbor City'!Q21+'Egg Harbor Twp'!Q37+'Estell Manor'!Q16+Folsom!Q16+'Galloway Twp'!Q32+'Hamilton Twp'!Q28+Hammonton!Q22+Linwood!Q20+Longport!Q16+Margate!Q19+Mullica!Q18+Northfield!Q23+Pleasantville!Q23+'Port Republic'!Q17+'Somers Point'!Q23+Ventnor!Q20+Weymouth!Q17</f>
        <v>0</v>
      </c>
      <c r="R36" s="34"/>
      <c r="S36" s="34">
        <f>+Absecon!S21+'Atlantic City'!S36+Brigantine!S19+'Buena Borough'!S17+'Buena Vista'!S19+'Corbin City'!S16+'Egg Harbor City'!S21+'Egg Harbor Twp'!S37+'Estell Manor'!S16+Folsom!S16+'Galloway Twp'!S32+'Hamilton Twp'!S28+Hammonton!S22+Linwood!S20+Longport!S16+Margate!S19+Mullica!S18+Northfield!S23+Pleasantville!S23+'Port Republic'!S17+'Somers Point'!S23+Ventnor!S20+Weymouth!S17</f>
        <v>45</v>
      </c>
      <c r="T36" s="34"/>
      <c r="U36" s="34">
        <f>+Absecon!U21+'Atlantic City'!U36+Brigantine!U19+'Buena Borough'!U17+'Buena Vista'!U19+'Corbin City'!U16+'Egg Harbor City'!U21+'Egg Harbor Twp'!U37+'Estell Manor'!U16+Folsom!U16+'Galloway Twp'!U32+'Hamilton Twp'!U28+Hammonton!U22+Linwood!U20+Longport!U16+Margate!U19+Mullica!U18+Northfield!U23+Pleasantville!U23+'Port Republic'!U17+'Somers Point'!U23+Ventnor!U20+Weymouth!U17</f>
        <v>111</v>
      </c>
      <c r="V36" s="34"/>
      <c r="W36" s="34">
        <f>+Absecon!W21+'Atlantic City'!W36+Brigantine!W19+'Buena Borough'!W17+'Buena Vista'!W19+'Corbin City'!W16+'Egg Harbor City'!W21+'Egg Harbor Twp'!W37+'Estell Manor'!W16+Folsom!W16+'Galloway Twp'!W32+'Hamilton Twp'!W28+Hammonton!W22+Linwood!W20+Longport!W16+Margate!W19+Mullica!W18+Northfield!W23+Pleasantville!W23+'Port Republic'!W17+'Somers Point'!W23+Ventnor!W20+Weymouth!W17</f>
        <v>0</v>
      </c>
      <c r="X36" s="34"/>
      <c r="Y36" s="34">
        <f>+Absecon!Y21+'Atlantic City'!Y36+Brigantine!Y19+'Buena Borough'!Y17+'Buena Vista'!Y19+'Corbin City'!Y16+'Egg Harbor City'!Y21+'Egg Harbor Twp'!Y37+'Estell Manor'!Y16+Folsom!Y16+'Galloway Twp'!Y32+'Hamilton Twp'!Y28+Hammonton!Y22+Linwood!Y20+Longport!Y16+Margate!Y19+Mullica!Y18+Northfield!Y23+Pleasantville!Y23+'Port Republic'!Y17+'Somers Point'!Y23+Ventnor!Y20+Weymouth!Y17</f>
        <v>0</v>
      </c>
      <c r="Z36" s="34"/>
      <c r="AA36" s="34">
        <f>+Absecon!AA21+'Atlantic City'!AA36+Brigantine!AA19+'Buena Borough'!AA17+'Buena Vista'!AA19+'Corbin City'!AA16+'Egg Harbor City'!AA21+'Egg Harbor Twp'!AA37+'Estell Manor'!AA16+Folsom!AA16+'Galloway Twp'!AA32+'Hamilton Twp'!AA28+Hammonton!AA22+Linwood!AA20+Longport!AA16+Margate!AA19+Mullica!AA18+Northfield!AA23+Pleasantville!AA23+'Port Republic'!AA17+'Somers Point'!AA23+Ventnor!AA20+Weymouth!AA17</f>
        <v>2</v>
      </c>
      <c r="AB36" s="34"/>
      <c r="AC36" s="34">
        <f>+Absecon!AC21+'Atlantic City'!AC36+Brigantine!AC19+'Buena Borough'!AC17+'Buena Vista'!AC19+'Corbin City'!AC16+'Egg Harbor City'!AC21+'Egg Harbor Twp'!AC37+'Estell Manor'!AC16+Folsom!AC16+'Galloway Twp'!AC32+'Hamilton Twp'!AC28+Hammonton!AC22+Linwood!AC20+Longport!AC16+Margate!AC19+Mullica!AC18+Northfield!AC23+Pleasantville!AC23+'Port Republic'!AC17+'Somers Point'!AC23+Ventnor!AC20+Weymouth!AC17</f>
        <v>0</v>
      </c>
      <c r="AD36" s="34"/>
      <c r="AE36" s="34">
        <f>+Absecon!AE21+'Atlantic City'!AE36+Brigantine!AE19+'Buena Borough'!AE17+'Buena Vista'!AE19+'Corbin City'!AE16+'Egg Harbor City'!AE21+'Egg Harbor Twp'!AE37+'Estell Manor'!AE16+Folsom!AE16+'Galloway Twp'!AE32+'Hamilton Twp'!AE28+Hammonton!AE22+Linwood!AE20+Longport!AE16+Margate!AE19+Mullica!AE18+Northfield!AE23+Pleasantville!AE23+'Port Republic'!AE17+'Somers Point'!AE23+Ventnor!AE20+Weymouth!AE17</f>
        <v>47</v>
      </c>
      <c r="AF36" s="34"/>
      <c r="AG36" s="34">
        <f>+Absecon!AG21+'Atlantic City'!AG36+Brigantine!AG19+'Buena Borough'!AG17+'Buena Vista'!AG19+'Corbin City'!AG16+'Egg Harbor City'!AG21+'Egg Harbor Twp'!AG37+'Estell Manor'!AG16+Folsom!AG16+'Galloway Twp'!AG32+'Hamilton Twp'!AG28+Hammonton!AG22+Linwood!AG20+Longport!AG16+Margate!AG19+Mullica!AG18+Northfield!AG23+Pleasantville!AG23+'Port Republic'!AG17+'Somers Point'!AG23+Ventnor!AG20+Weymouth!AG17</f>
        <v>110</v>
      </c>
      <c r="AH36" s="34"/>
      <c r="AI36" s="34">
        <f>+'Atlantic City'!AI36+'Egg Harbor Twp'!AI37+Linwood!AI20+Longport!AI16+Margate!AI19+Northfield!AI23+'Somers Point'!AI23+Ventnor!AI20</f>
        <v>5</v>
      </c>
      <c r="AJ36" s="27"/>
      <c r="AK36" s="34">
        <f>+'Atlantic City'!AK36+'Egg Harbor Twp'!AK37+Linwood!AK20+Longport!AK16+Margate!AK19+Northfield!AK23+'Somers Point'!AK23+Ventnor!AK20</f>
        <v>3</v>
      </c>
      <c r="AL36" s="27"/>
      <c r="AM36" s="34">
        <f>+'Buena Borough'!AI17+'Buena Vista'!AI19+'Corbin City'!AI16+'Egg Harbor City'!AI21+'Estell Manor'!AI16+Folsom!AI16+'Hamilton Twp'!AI28+Hammonton!AI22+Mullica!AI18+Weymouth!AI17</f>
        <v>0</v>
      </c>
      <c r="AN36" s="27"/>
      <c r="AO36" s="34">
        <f>+'Buena Borough'!AK17+'Buena Vista'!AK19+'Corbin City'!AK16+'Egg Harbor City'!AK21+'Estell Manor'!AK16+Folsom!AK16+'Hamilton Twp'!AK28+Hammonton!AK22+Mullica!AK18+Weymouth!AK17</f>
        <v>5</v>
      </c>
      <c r="AP36" s="27"/>
      <c r="AQ36" s="34">
        <f>+Absecon!AW21+'Atlantic City'!AY36+Brigantine!AU19+'Buena Borough'!AU17+'Buena Vista'!BG19+'Corbin City'!AU16+'Egg Harbor City'!BE21+'Egg Harbor Twp'!BU37+'Estell Manor'!AU16+Folsom!BA16+'Galloway Twp'!AQ32+'Hamilton Twp'!BI28+Hammonton!BS22+Linwood!BE20+Longport!AO16+Margate!AM19+Mullica!BC18+Northfield!BA23+Pleasantville!BE23+'Port Republic'!AW17+'Somers Point'!BI23+Ventnor!AM20+Weymouth!AW17</f>
        <v>77</v>
      </c>
      <c r="AR36" s="27"/>
      <c r="AS36" s="34">
        <f>+Absecon!AY21+'Atlantic City'!BA36+Brigantine!AW19+'Buena Borough'!AW17+'Buena Vista'!BI19+'Corbin City'!AW16+'Egg Harbor City'!BG21+'Egg Harbor Twp'!BW37+'Estell Manor'!AW16+Folsom!BC16+'Galloway Twp'!AS32+'Hamilton Twp'!BK28+Hammonton!BU22+Linwood!BG20+Longport!AQ16+Margate!AO19+Mullica!BE18+Northfield!BC23+Pleasantville!BG23+'Port Republic'!AY17+'Somers Point'!BK23+Ventnor!AO20+Weymouth!AY17</f>
        <v>33</v>
      </c>
      <c r="AT36" s="27"/>
      <c r="AV36" s="27"/>
      <c r="AW36" s="448"/>
      <c r="AX36" s="27"/>
      <c r="AY36" s="27"/>
      <c r="AZ36" s="27"/>
      <c r="BA36" s="27"/>
      <c r="BB36" s="26"/>
      <c r="BC36" s="27"/>
      <c r="BD36" s="26"/>
      <c r="BE36" s="27"/>
      <c r="BF36" s="26"/>
      <c r="BH36" s="26"/>
      <c r="BI36" s="26"/>
      <c r="BJ36" s="26"/>
      <c r="BK36" s="26"/>
    </row>
    <row r="37" spans="1:99" s="6" customFormat="1" ht="13.5" thickBot="1" x14ac:dyDescent="0.25">
      <c r="A37" s="3" t="s">
        <v>26</v>
      </c>
      <c r="C37" s="30">
        <f>+SUM(C33:C36)</f>
        <v>45954</v>
      </c>
      <c r="D37" s="29"/>
      <c r="E37" s="30">
        <f>+SUM(E33:E36)</f>
        <v>44617</v>
      </c>
      <c r="F37" s="29"/>
      <c r="G37" s="30">
        <f>+SUM(G33:G36)</f>
        <v>1564</v>
      </c>
      <c r="H37" s="24"/>
      <c r="I37" s="30">
        <f>+SUM(I33:I36)</f>
        <v>413</v>
      </c>
      <c r="J37" s="24"/>
      <c r="K37" s="30">
        <f>+SUM(K33:K36)</f>
        <v>569</v>
      </c>
      <c r="L37" s="24"/>
      <c r="M37" s="30">
        <f>+SUM(M33:M36)</f>
        <v>606</v>
      </c>
      <c r="N37" s="24"/>
      <c r="O37" s="30">
        <f>+SUM(O33:O36)</f>
        <v>230</v>
      </c>
      <c r="P37" s="24"/>
      <c r="Q37" s="30">
        <f>+SUM(Q33:Q36)</f>
        <v>120</v>
      </c>
      <c r="R37" s="24"/>
      <c r="S37" s="30">
        <f>+SUM(S33:S36)</f>
        <v>39118</v>
      </c>
      <c r="T37" s="24"/>
      <c r="U37" s="30">
        <f>+SUM(U33:U36)</f>
        <v>52917</v>
      </c>
      <c r="V37" s="24"/>
      <c r="W37" s="30">
        <f>+SUM(W33:W36)</f>
        <v>591</v>
      </c>
      <c r="X37" s="24"/>
      <c r="Y37" s="30">
        <f>+SUM(Y33:Y36)</f>
        <v>335</v>
      </c>
      <c r="Z37" s="24"/>
      <c r="AA37" s="30">
        <f>+SUM(AA33:AA36)</f>
        <v>553</v>
      </c>
      <c r="AB37" s="24"/>
      <c r="AC37" s="30">
        <f>+SUM(AC33:AC36)</f>
        <v>354</v>
      </c>
      <c r="AD37" s="24"/>
      <c r="AE37" s="30">
        <f>+SUM(AE33:AE36)</f>
        <v>47002</v>
      </c>
      <c r="AF37" s="24"/>
      <c r="AG37" s="30">
        <f>+SUM(AG33:AG36)</f>
        <v>45302</v>
      </c>
      <c r="AH37" s="24"/>
      <c r="AI37" s="30">
        <f>+SUM(AI33:AI36)</f>
        <v>11894</v>
      </c>
      <c r="AJ37" s="24"/>
      <c r="AK37" s="30">
        <f>+SUM(AK33:AK36)</f>
        <v>9127</v>
      </c>
      <c r="AL37" s="24"/>
      <c r="AM37" s="30">
        <f>+SUM(AM33:AM36)</f>
        <v>11363</v>
      </c>
      <c r="AN37" s="24"/>
      <c r="AO37" s="30">
        <f>+SUM(AO33:AO36)</f>
        <v>8265</v>
      </c>
      <c r="AP37" s="24"/>
      <c r="AQ37" s="30">
        <f>+SUM(AQ33:AQ36)</f>
        <v>36660</v>
      </c>
      <c r="AR37" s="24"/>
      <c r="AS37" s="30">
        <f>+SUM(AS33:AS36)</f>
        <v>41363</v>
      </c>
      <c r="AT37" s="24"/>
      <c r="AU37" s="42"/>
      <c r="AV37" s="24"/>
      <c r="AW37" s="24"/>
      <c r="AX37" s="24"/>
      <c r="AY37" s="24"/>
      <c r="AZ37" s="24"/>
      <c r="BA37" s="24"/>
      <c r="BB37" s="29"/>
      <c r="BC37" s="24"/>
      <c r="BD37" s="29"/>
      <c r="BE37" s="49"/>
      <c r="BF37" s="29"/>
      <c r="BG37" s="251"/>
      <c r="BH37" s="29"/>
      <c r="BI37" s="29"/>
      <c r="BJ37" s="29"/>
      <c r="BK37" s="29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1:99" x14ac:dyDescent="0.2">
      <c r="C38" s="26"/>
      <c r="D38" s="26"/>
      <c r="E38" s="26"/>
      <c r="F38" s="26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V38" s="27"/>
      <c r="AW38" s="27"/>
      <c r="AX38" s="27"/>
      <c r="AY38" s="27"/>
      <c r="AZ38" s="27"/>
      <c r="BA38" s="27"/>
      <c r="BB38" s="26"/>
      <c r="BC38" s="27"/>
      <c r="BD38" s="26"/>
      <c r="BE38" s="27"/>
      <c r="BF38" s="26"/>
      <c r="BH38" s="26"/>
      <c r="BI38" s="26"/>
      <c r="BJ38" s="26"/>
      <c r="BK38" s="26"/>
    </row>
    <row r="39" spans="1:99" x14ac:dyDescent="0.2">
      <c r="A39" s="5"/>
      <c r="C39" s="26"/>
      <c r="D39" s="26"/>
      <c r="E39" s="26"/>
      <c r="F39" s="26"/>
      <c r="G39" s="26"/>
      <c r="H39" s="27"/>
      <c r="I39" s="26"/>
      <c r="J39" s="27"/>
      <c r="K39" s="26"/>
      <c r="L39" s="27"/>
      <c r="M39" s="26"/>
      <c r="N39" s="27"/>
      <c r="O39" s="26"/>
      <c r="P39" s="27"/>
      <c r="Q39" s="26"/>
      <c r="R39" s="27"/>
      <c r="S39" s="27"/>
      <c r="T39" s="27"/>
      <c r="U39" s="27"/>
      <c r="V39" s="27"/>
      <c r="W39" s="26"/>
      <c r="X39" s="27"/>
      <c r="Y39" s="26"/>
      <c r="Z39" s="27"/>
      <c r="AA39" s="27"/>
      <c r="AB39" s="27"/>
      <c r="AC39" s="27"/>
      <c r="AD39" s="27"/>
      <c r="AE39" s="26"/>
      <c r="AF39" s="27"/>
      <c r="AG39" s="26"/>
      <c r="AH39" s="27"/>
      <c r="AI39" s="26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58"/>
      <c r="AV39" s="27"/>
      <c r="AW39" s="27"/>
      <c r="AX39" s="27"/>
      <c r="AY39" s="27"/>
      <c r="AZ39" s="27"/>
      <c r="BA39" s="27"/>
      <c r="BB39" s="26"/>
      <c r="BC39" s="27"/>
      <c r="BD39" s="26"/>
      <c r="BE39" s="27"/>
      <c r="BF39" s="26"/>
      <c r="BH39" s="26"/>
      <c r="BI39" s="26"/>
      <c r="BJ39" s="26"/>
      <c r="BK39" s="26"/>
    </row>
    <row r="40" spans="1:99" x14ac:dyDescent="0.2">
      <c r="C40" s="26"/>
      <c r="D40" s="26"/>
      <c r="E40" s="26"/>
      <c r="F40" s="26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V40" s="27"/>
      <c r="AW40" s="27"/>
      <c r="AX40" s="27"/>
      <c r="AY40" s="27"/>
      <c r="AZ40" s="27"/>
      <c r="BA40" s="27"/>
      <c r="BB40" s="26"/>
      <c r="BC40" s="27"/>
      <c r="BD40" s="26"/>
      <c r="BE40" s="27"/>
      <c r="BF40" s="26"/>
      <c r="BH40" s="26"/>
      <c r="BI40" s="26"/>
      <c r="BJ40" s="26"/>
      <c r="BK40" s="26"/>
    </row>
    <row r="41" spans="1:99" x14ac:dyDescent="0.2">
      <c r="C41" s="26"/>
      <c r="D41" s="26"/>
      <c r="E41" s="26"/>
      <c r="F41" s="26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V41" s="27"/>
      <c r="AW41" s="27"/>
      <c r="AX41" s="27"/>
      <c r="AY41" s="27"/>
      <c r="AZ41" s="27"/>
      <c r="BA41" s="27"/>
      <c r="BB41" s="26"/>
      <c r="BC41" s="27"/>
      <c r="BD41" s="26"/>
      <c r="BE41" s="27"/>
      <c r="BF41" s="26"/>
      <c r="BH41" s="26"/>
      <c r="BI41" s="26"/>
      <c r="BJ41" s="26"/>
      <c r="BK41" s="26"/>
    </row>
    <row r="42" spans="1:99" x14ac:dyDescent="0.2">
      <c r="C42" s="26"/>
      <c r="D42" s="26"/>
      <c r="E42" s="26"/>
      <c r="F42" s="26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V42" s="27"/>
      <c r="AW42" s="27"/>
      <c r="AX42" s="27"/>
      <c r="AY42" s="27"/>
      <c r="AZ42" s="27"/>
      <c r="BA42" s="27"/>
      <c r="BB42" s="26"/>
      <c r="BC42" s="27"/>
      <c r="BD42" s="26"/>
      <c r="BE42" s="27"/>
      <c r="BF42" s="26"/>
      <c r="BH42" s="26"/>
      <c r="BI42" s="26"/>
      <c r="BJ42" s="26"/>
      <c r="BK42" s="26"/>
    </row>
    <row r="43" spans="1:99" x14ac:dyDescent="0.2">
      <c r="C43" s="26"/>
      <c r="D43" s="26"/>
      <c r="E43" s="26"/>
      <c r="F43" s="26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V43" s="27"/>
      <c r="AW43" s="27"/>
      <c r="AX43" s="27"/>
      <c r="AY43" s="27"/>
      <c r="AZ43" s="27"/>
      <c r="BA43" s="27"/>
      <c r="BB43" s="26"/>
      <c r="BC43" s="27"/>
      <c r="BD43" s="26"/>
      <c r="BE43" s="27"/>
      <c r="BF43" s="26"/>
      <c r="BH43" s="26"/>
      <c r="BI43" s="26"/>
      <c r="BJ43" s="26"/>
      <c r="BK43" s="26"/>
    </row>
    <row r="44" spans="1:99" x14ac:dyDescent="0.2">
      <c r="C44" s="26"/>
      <c r="D44" s="26"/>
      <c r="E44" s="26"/>
      <c r="F44" s="26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V44" s="27"/>
      <c r="AW44" s="27"/>
      <c r="AX44" s="27"/>
      <c r="AY44" s="27"/>
      <c r="AZ44" s="27"/>
      <c r="BA44" s="27"/>
      <c r="BB44" s="26"/>
      <c r="BC44" s="27"/>
      <c r="BD44" s="26"/>
      <c r="BE44" s="27"/>
      <c r="BF44" s="26"/>
      <c r="BH44" s="26"/>
      <c r="BI44" s="26"/>
      <c r="BJ44" s="26"/>
      <c r="BK44" s="26"/>
    </row>
    <row r="45" spans="1:99" x14ac:dyDescent="0.2">
      <c r="C45" s="26"/>
      <c r="D45" s="26"/>
      <c r="E45" s="26"/>
      <c r="F45" s="26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V45" s="27"/>
      <c r="AW45" s="27"/>
      <c r="AX45" s="27"/>
      <c r="AY45" s="27"/>
      <c r="AZ45" s="27"/>
      <c r="BA45" s="27"/>
      <c r="BB45" s="26"/>
      <c r="BC45" s="27"/>
      <c r="BD45" s="26"/>
      <c r="BE45" s="27"/>
      <c r="BF45" s="26"/>
      <c r="BH45" s="26"/>
      <c r="BI45" s="26"/>
      <c r="BJ45" s="26"/>
      <c r="BK45" s="26"/>
    </row>
    <row r="46" spans="1:99" x14ac:dyDescent="0.2">
      <c r="C46" s="26"/>
      <c r="D46" s="26"/>
      <c r="E46" s="26"/>
      <c r="F46" s="26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V46" s="27"/>
      <c r="AW46" s="27"/>
      <c r="AX46" s="27"/>
      <c r="AY46" s="27"/>
      <c r="AZ46" s="27"/>
      <c r="BA46" s="27"/>
      <c r="BB46" s="26"/>
      <c r="BC46" s="27"/>
      <c r="BD46" s="26"/>
      <c r="BE46" s="27"/>
      <c r="BF46" s="26"/>
      <c r="BH46" s="26"/>
      <c r="BI46" s="26"/>
      <c r="BJ46" s="26"/>
      <c r="BK46" s="26"/>
    </row>
    <row r="47" spans="1:99" x14ac:dyDescent="0.2">
      <c r="C47" s="26"/>
      <c r="D47" s="26"/>
      <c r="E47" s="26"/>
      <c r="F47" s="26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V47" s="27"/>
      <c r="AW47" s="27"/>
      <c r="AX47" s="27"/>
      <c r="AY47" s="27"/>
      <c r="AZ47" s="27"/>
      <c r="BA47" s="27"/>
      <c r="BB47" s="26"/>
      <c r="BC47" s="27"/>
      <c r="BD47" s="26"/>
      <c r="BE47" s="27"/>
      <c r="BF47" s="26"/>
      <c r="BH47" s="26"/>
      <c r="BI47" s="26"/>
      <c r="BJ47" s="26"/>
      <c r="BK47" s="26"/>
    </row>
    <row r="48" spans="1:99" x14ac:dyDescent="0.2">
      <c r="C48" s="26"/>
      <c r="D48" s="26"/>
      <c r="E48" s="26"/>
      <c r="F48" s="26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V48" s="27"/>
      <c r="AW48" s="27"/>
      <c r="AX48" s="27"/>
      <c r="AY48" s="27"/>
      <c r="AZ48" s="27"/>
      <c r="BA48" s="27"/>
      <c r="BB48" s="26"/>
      <c r="BC48" s="27"/>
      <c r="BD48" s="26"/>
      <c r="BE48" s="27"/>
      <c r="BF48" s="26"/>
      <c r="BH48" s="26"/>
      <c r="BI48" s="26"/>
      <c r="BJ48" s="26"/>
      <c r="BK48" s="26"/>
    </row>
    <row r="49" spans="3:63" x14ac:dyDescent="0.2">
      <c r="C49" s="26"/>
      <c r="D49" s="26"/>
      <c r="E49" s="26"/>
      <c r="F49" s="26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V49" s="27"/>
      <c r="AW49" s="27"/>
      <c r="AX49" s="27"/>
      <c r="AY49" s="27"/>
      <c r="AZ49" s="27"/>
      <c r="BA49" s="27"/>
      <c r="BB49" s="26"/>
      <c r="BC49" s="27"/>
      <c r="BD49" s="26"/>
      <c r="BE49" s="27"/>
      <c r="BF49" s="26"/>
      <c r="BH49" s="26"/>
      <c r="BI49" s="26"/>
      <c r="BJ49" s="26"/>
      <c r="BK49" s="26"/>
    </row>
    <row r="50" spans="3:63" x14ac:dyDescent="0.2">
      <c r="C50" s="26"/>
      <c r="D50" s="26"/>
      <c r="E50" s="26"/>
      <c r="F50" s="26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V50" s="27"/>
      <c r="AW50" s="27"/>
      <c r="AX50" s="27"/>
      <c r="AY50" s="27"/>
      <c r="AZ50" s="27"/>
      <c r="BA50" s="27"/>
      <c r="BB50" s="26"/>
      <c r="BC50" s="27"/>
      <c r="BD50" s="26"/>
      <c r="BE50" s="27"/>
      <c r="BF50" s="26"/>
      <c r="BH50" s="26"/>
      <c r="BI50" s="26"/>
      <c r="BJ50" s="26"/>
      <c r="BK50" s="26"/>
    </row>
    <row r="51" spans="3:63" x14ac:dyDescent="0.2">
      <c r="C51" s="26"/>
      <c r="D51" s="26"/>
      <c r="E51" s="26"/>
      <c r="F51" s="26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V51" s="27"/>
      <c r="AW51" s="27"/>
      <c r="AX51" s="27"/>
      <c r="AY51" s="27"/>
      <c r="AZ51" s="27"/>
      <c r="BA51" s="27"/>
      <c r="BB51" s="26"/>
      <c r="BC51" s="27"/>
      <c r="BD51" s="26"/>
      <c r="BE51" s="27"/>
      <c r="BF51" s="26"/>
      <c r="BH51" s="26"/>
      <c r="BI51" s="26"/>
      <c r="BJ51" s="26"/>
      <c r="BK51" s="26"/>
    </row>
    <row r="52" spans="3:63" x14ac:dyDescent="0.2">
      <c r="C52" s="26"/>
      <c r="D52" s="26"/>
      <c r="E52" s="26"/>
      <c r="F52" s="26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V52" s="27"/>
      <c r="AW52" s="27"/>
      <c r="AX52" s="27"/>
      <c r="AY52" s="27"/>
      <c r="AZ52" s="27"/>
      <c r="BA52" s="27"/>
      <c r="BB52" s="26"/>
      <c r="BC52" s="27"/>
      <c r="BD52" s="26"/>
      <c r="BE52" s="27"/>
      <c r="BF52" s="26"/>
      <c r="BH52" s="26"/>
      <c r="BI52" s="26"/>
      <c r="BJ52" s="26"/>
      <c r="BK52" s="26"/>
    </row>
    <row r="53" spans="3:63" x14ac:dyDescent="0.2">
      <c r="C53" s="26"/>
      <c r="D53" s="26"/>
      <c r="E53" s="26"/>
      <c r="F53" s="26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V53" s="27"/>
      <c r="AW53" s="27"/>
      <c r="AX53" s="27"/>
      <c r="AY53" s="27"/>
      <c r="AZ53" s="27"/>
      <c r="BA53" s="27"/>
      <c r="BB53" s="26"/>
      <c r="BC53" s="27"/>
      <c r="BD53" s="26"/>
      <c r="BE53" s="27"/>
      <c r="BF53" s="26"/>
      <c r="BH53" s="26"/>
      <c r="BI53" s="26"/>
      <c r="BJ53" s="26"/>
      <c r="BK53" s="26"/>
    </row>
    <row r="54" spans="3:63" x14ac:dyDescent="0.2">
      <c r="C54" s="26"/>
      <c r="D54" s="26"/>
      <c r="E54" s="26"/>
      <c r="F54" s="26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V54" s="27"/>
      <c r="AW54" s="27"/>
      <c r="AX54" s="27"/>
      <c r="AY54" s="27"/>
      <c r="AZ54" s="27"/>
      <c r="BA54" s="27"/>
      <c r="BB54" s="26"/>
      <c r="BC54" s="27"/>
      <c r="BD54" s="26"/>
      <c r="BE54" s="27"/>
      <c r="BF54" s="26"/>
      <c r="BH54" s="26"/>
      <c r="BI54" s="26"/>
      <c r="BJ54" s="26"/>
      <c r="BK54" s="26"/>
    </row>
    <row r="55" spans="3:63" x14ac:dyDescent="0.2">
      <c r="C55" s="26"/>
      <c r="D55" s="26"/>
      <c r="E55" s="26"/>
      <c r="F55" s="26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V55" s="27"/>
      <c r="AW55" s="27"/>
      <c r="AX55" s="27"/>
      <c r="AY55" s="27"/>
      <c r="AZ55" s="27"/>
      <c r="BA55" s="27"/>
      <c r="BB55" s="26"/>
      <c r="BC55" s="27"/>
      <c r="BD55" s="26"/>
      <c r="BE55" s="27"/>
      <c r="BF55" s="26"/>
      <c r="BH55" s="26"/>
      <c r="BI55" s="26"/>
      <c r="BJ55" s="26"/>
      <c r="BK55" s="26"/>
    </row>
    <row r="56" spans="3:63" x14ac:dyDescent="0.2">
      <c r="C56" s="26"/>
      <c r="D56" s="26"/>
      <c r="E56" s="26"/>
      <c r="F56" s="26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V56" s="27"/>
      <c r="AW56" s="27"/>
      <c r="AX56" s="27"/>
      <c r="AY56" s="27"/>
      <c r="AZ56" s="27"/>
      <c r="BA56" s="27"/>
      <c r="BB56" s="26"/>
      <c r="BC56" s="27"/>
      <c r="BD56" s="26"/>
      <c r="BE56" s="27"/>
      <c r="BF56" s="26"/>
      <c r="BH56" s="26"/>
      <c r="BI56" s="26"/>
      <c r="BJ56" s="26"/>
      <c r="BK56" s="26"/>
    </row>
    <row r="57" spans="3:63" x14ac:dyDescent="0.2">
      <c r="C57" s="26"/>
      <c r="D57" s="26"/>
      <c r="E57" s="26"/>
      <c r="F57" s="26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V57" s="27"/>
      <c r="AW57" s="27"/>
      <c r="AX57" s="27"/>
      <c r="AY57" s="27"/>
      <c r="AZ57" s="27"/>
      <c r="BA57" s="27"/>
      <c r="BB57" s="26"/>
      <c r="BC57" s="27"/>
      <c r="BD57" s="26"/>
      <c r="BE57" s="27"/>
      <c r="BF57" s="26"/>
      <c r="BH57" s="26"/>
      <c r="BI57" s="26"/>
      <c r="BJ57" s="26"/>
      <c r="BK57" s="26"/>
    </row>
    <row r="58" spans="3:63" x14ac:dyDescent="0.2">
      <c r="C58" s="26"/>
      <c r="D58" s="26"/>
      <c r="E58" s="26"/>
      <c r="F58" s="26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V58" s="27"/>
      <c r="AW58" s="27"/>
      <c r="AX58" s="27"/>
      <c r="AY58" s="27"/>
      <c r="AZ58" s="27"/>
      <c r="BA58" s="27"/>
      <c r="BB58" s="26"/>
      <c r="BC58" s="27"/>
      <c r="BD58" s="26"/>
      <c r="BE58" s="27"/>
      <c r="BF58" s="26"/>
      <c r="BH58" s="26"/>
      <c r="BI58" s="26"/>
      <c r="BJ58" s="26"/>
      <c r="BK58" s="26"/>
    </row>
    <row r="59" spans="3:63" x14ac:dyDescent="0.2">
      <c r="C59" s="26"/>
      <c r="D59" s="26"/>
      <c r="E59" s="26"/>
      <c r="F59" s="26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V59" s="27"/>
      <c r="AW59" s="27"/>
      <c r="AX59" s="27"/>
      <c r="AY59" s="27"/>
      <c r="AZ59" s="27"/>
      <c r="BA59" s="27"/>
      <c r="BB59" s="26"/>
      <c r="BC59" s="27"/>
      <c r="BD59" s="26"/>
      <c r="BE59" s="27"/>
      <c r="BF59" s="26"/>
      <c r="BH59" s="26"/>
      <c r="BI59" s="26"/>
      <c r="BJ59" s="26"/>
      <c r="BK59" s="26"/>
    </row>
    <row r="60" spans="3:63" x14ac:dyDescent="0.2">
      <c r="C60" s="26"/>
      <c r="D60" s="26"/>
      <c r="E60" s="26"/>
      <c r="F60" s="26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V60" s="27"/>
      <c r="AW60" s="27"/>
      <c r="AX60" s="27"/>
      <c r="AY60" s="27"/>
      <c r="AZ60" s="27"/>
      <c r="BA60" s="27"/>
      <c r="BB60" s="26"/>
      <c r="BC60" s="27"/>
      <c r="BD60" s="26"/>
      <c r="BE60" s="27"/>
      <c r="BF60" s="26"/>
      <c r="BH60" s="26"/>
      <c r="BI60" s="26"/>
      <c r="BJ60" s="26"/>
      <c r="BK60" s="26"/>
    </row>
    <row r="61" spans="3:63" x14ac:dyDescent="0.2">
      <c r="C61" s="26"/>
      <c r="D61" s="26"/>
      <c r="E61" s="26"/>
      <c r="F61" s="26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V61" s="27"/>
      <c r="AW61" s="27"/>
      <c r="AX61" s="27"/>
      <c r="AY61" s="27"/>
      <c r="AZ61" s="27"/>
      <c r="BA61" s="27"/>
      <c r="BB61" s="26"/>
      <c r="BC61" s="27"/>
      <c r="BD61" s="26"/>
      <c r="BE61" s="27"/>
      <c r="BF61" s="26"/>
      <c r="BH61" s="26"/>
      <c r="BI61" s="26"/>
      <c r="BJ61" s="26"/>
      <c r="BK61" s="26"/>
    </row>
    <row r="62" spans="3:63" x14ac:dyDescent="0.2">
      <c r="C62" s="26"/>
      <c r="D62" s="26"/>
      <c r="E62" s="26"/>
      <c r="F62" s="26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V62" s="27"/>
      <c r="AW62" s="27"/>
      <c r="AX62" s="27"/>
      <c r="AY62" s="27"/>
      <c r="AZ62" s="27"/>
      <c r="BA62" s="27"/>
      <c r="BB62" s="26"/>
      <c r="BC62" s="27"/>
      <c r="BD62" s="26"/>
      <c r="BE62" s="27"/>
      <c r="BF62" s="26"/>
      <c r="BH62" s="26"/>
      <c r="BI62" s="26"/>
      <c r="BJ62" s="26"/>
      <c r="BK62" s="26"/>
    </row>
    <row r="63" spans="3:63" x14ac:dyDescent="0.2">
      <c r="C63" s="26"/>
      <c r="D63" s="26"/>
      <c r="E63" s="26"/>
      <c r="F63" s="26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V63" s="27"/>
      <c r="AW63" s="27"/>
      <c r="AX63" s="27"/>
      <c r="AY63" s="27"/>
      <c r="AZ63" s="27"/>
      <c r="BA63" s="27"/>
      <c r="BB63" s="26"/>
      <c r="BC63" s="27"/>
      <c r="BD63" s="26"/>
      <c r="BE63" s="27"/>
      <c r="BF63" s="26"/>
      <c r="BH63" s="26"/>
      <c r="BI63" s="26"/>
      <c r="BJ63" s="26"/>
      <c r="BK63" s="26"/>
    </row>
    <row r="64" spans="3:63" x14ac:dyDescent="0.2">
      <c r="C64" s="26"/>
      <c r="D64" s="26"/>
      <c r="E64" s="26"/>
      <c r="F64" s="26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V64" s="27"/>
      <c r="AW64" s="27"/>
      <c r="AX64" s="27"/>
      <c r="AY64" s="27"/>
      <c r="AZ64" s="27"/>
      <c r="BA64" s="27"/>
      <c r="BB64" s="26"/>
      <c r="BC64" s="27"/>
      <c r="BD64" s="26"/>
      <c r="BE64" s="27"/>
      <c r="BF64" s="26"/>
      <c r="BH64" s="26"/>
      <c r="BI64" s="26"/>
      <c r="BJ64" s="26"/>
      <c r="BK64" s="26"/>
    </row>
    <row r="65" spans="3:63" x14ac:dyDescent="0.2">
      <c r="C65" s="26"/>
      <c r="D65" s="26"/>
      <c r="E65" s="26"/>
      <c r="F65" s="26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V65" s="27"/>
      <c r="AW65" s="27"/>
      <c r="AX65" s="27"/>
      <c r="AY65" s="27"/>
      <c r="AZ65" s="27"/>
      <c r="BA65" s="27"/>
      <c r="BB65" s="26"/>
      <c r="BC65" s="27"/>
      <c r="BD65" s="26"/>
      <c r="BE65" s="27"/>
      <c r="BF65" s="26"/>
      <c r="BH65" s="26"/>
      <c r="BI65" s="26"/>
      <c r="BJ65" s="26"/>
      <c r="BK65" s="26"/>
    </row>
    <row r="66" spans="3:63" x14ac:dyDescent="0.2">
      <c r="C66" s="26"/>
      <c r="D66" s="26"/>
      <c r="E66" s="26"/>
      <c r="F66" s="26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V66" s="27"/>
      <c r="AW66" s="27"/>
      <c r="AX66" s="27"/>
      <c r="AY66" s="27"/>
      <c r="AZ66" s="27"/>
      <c r="BA66" s="27"/>
      <c r="BB66" s="26"/>
      <c r="BC66" s="27"/>
      <c r="BD66" s="26"/>
      <c r="BE66" s="27"/>
      <c r="BF66" s="26"/>
      <c r="BH66" s="26"/>
      <c r="BI66" s="26"/>
      <c r="BJ66" s="26"/>
      <c r="BK66" s="26"/>
    </row>
    <row r="67" spans="3:63" x14ac:dyDescent="0.2">
      <c r="C67" s="26"/>
      <c r="D67" s="26"/>
      <c r="E67" s="26"/>
      <c r="F67" s="26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V67" s="27"/>
      <c r="AW67" s="27"/>
      <c r="AX67" s="27"/>
      <c r="AY67" s="27"/>
      <c r="AZ67" s="27"/>
      <c r="BA67" s="27"/>
      <c r="BB67" s="26"/>
      <c r="BC67" s="27"/>
      <c r="BD67" s="26"/>
      <c r="BE67" s="27"/>
      <c r="BF67" s="26"/>
      <c r="BH67" s="26"/>
      <c r="BI67" s="26"/>
      <c r="BJ67" s="26"/>
      <c r="BK67" s="26"/>
    </row>
    <row r="68" spans="3:63" x14ac:dyDescent="0.2">
      <c r="C68" s="26"/>
      <c r="D68" s="26"/>
      <c r="E68" s="26"/>
      <c r="F68" s="26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V68" s="27"/>
      <c r="AW68" s="27"/>
      <c r="AX68" s="27"/>
      <c r="AY68" s="27"/>
      <c r="AZ68" s="27"/>
      <c r="BA68" s="27"/>
      <c r="BB68" s="26"/>
      <c r="BC68" s="27"/>
      <c r="BD68" s="26"/>
      <c r="BE68" s="27"/>
      <c r="BF68" s="26"/>
      <c r="BH68" s="26"/>
      <c r="BI68" s="26"/>
      <c r="BJ68" s="26"/>
      <c r="BK68" s="26"/>
    </row>
    <row r="69" spans="3:63" x14ac:dyDescent="0.2">
      <c r="C69" s="26"/>
      <c r="D69" s="26"/>
      <c r="E69" s="26"/>
      <c r="F69" s="26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V69" s="27"/>
      <c r="AW69" s="27"/>
      <c r="AX69" s="27"/>
      <c r="AY69" s="27"/>
      <c r="AZ69" s="27"/>
      <c r="BA69" s="27"/>
      <c r="BB69" s="26"/>
      <c r="BC69" s="27"/>
      <c r="BD69" s="26"/>
      <c r="BE69" s="27"/>
      <c r="BF69" s="26"/>
      <c r="BH69" s="26"/>
      <c r="BI69" s="26"/>
      <c r="BJ69" s="26"/>
      <c r="BK69" s="26"/>
    </row>
    <row r="70" spans="3:63" x14ac:dyDescent="0.2">
      <c r="C70" s="26"/>
      <c r="D70" s="26"/>
      <c r="E70" s="26"/>
      <c r="F70" s="26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V70" s="27"/>
      <c r="AW70" s="27"/>
      <c r="AX70" s="27"/>
      <c r="AY70" s="27"/>
      <c r="AZ70" s="27"/>
      <c r="BA70" s="27"/>
      <c r="BB70" s="26"/>
      <c r="BC70" s="27"/>
      <c r="BD70" s="26"/>
      <c r="BE70" s="27"/>
      <c r="BF70" s="26"/>
      <c r="BH70" s="26"/>
      <c r="BI70" s="26"/>
      <c r="BJ70" s="26"/>
      <c r="BK70" s="26"/>
    </row>
    <row r="71" spans="3:63" x14ac:dyDescent="0.2">
      <c r="C71" s="26"/>
      <c r="D71" s="26"/>
      <c r="E71" s="26"/>
      <c r="F71" s="26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V71" s="27"/>
      <c r="AW71" s="27"/>
      <c r="AX71" s="27"/>
      <c r="AY71" s="27"/>
      <c r="AZ71" s="27"/>
      <c r="BA71" s="27"/>
      <c r="BB71" s="26"/>
      <c r="BC71" s="27"/>
      <c r="BD71" s="26"/>
      <c r="BE71" s="27"/>
      <c r="BF71" s="26"/>
      <c r="BH71" s="26"/>
      <c r="BI71" s="26"/>
      <c r="BJ71" s="26"/>
      <c r="BK71" s="26"/>
    </row>
    <row r="72" spans="3:63" x14ac:dyDescent="0.2">
      <c r="C72" s="26"/>
      <c r="D72" s="26"/>
      <c r="E72" s="26"/>
      <c r="F72" s="26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V72" s="27"/>
      <c r="AW72" s="27"/>
      <c r="AX72" s="27"/>
      <c r="AY72" s="27"/>
      <c r="AZ72" s="27"/>
      <c r="BA72" s="27"/>
      <c r="BB72" s="26"/>
      <c r="BC72" s="27"/>
      <c r="BD72" s="26"/>
      <c r="BE72" s="27"/>
      <c r="BF72" s="26"/>
      <c r="BH72" s="26"/>
      <c r="BI72" s="26"/>
      <c r="BJ72" s="26"/>
      <c r="BK72" s="26"/>
    </row>
    <row r="73" spans="3:63" x14ac:dyDescent="0.2">
      <c r="C73" s="26"/>
      <c r="D73" s="26"/>
      <c r="E73" s="26"/>
      <c r="F73" s="26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V73" s="27"/>
      <c r="AW73" s="27"/>
      <c r="AX73" s="27"/>
      <c r="AY73" s="27"/>
      <c r="AZ73" s="27"/>
      <c r="BA73" s="27"/>
      <c r="BB73" s="26"/>
      <c r="BC73" s="27"/>
      <c r="BD73" s="26"/>
      <c r="BE73" s="27"/>
      <c r="BF73" s="26"/>
      <c r="BH73" s="26"/>
      <c r="BI73" s="26"/>
      <c r="BJ73" s="26"/>
      <c r="BK73" s="26"/>
    </row>
    <row r="74" spans="3:63" x14ac:dyDescent="0.2">
      <c r="C74" s="26"/>
      <c r="D74" s="26"/>
      <c r="E74" s="26"/>
      <c r="F74" s="26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V74" s="27"/>
      <c r="AW74" s="27"/>
      <c r="AX74" s="27"/>
      <c r="AY74" s="27"/>
      <c r="AZ74" s="27"/>
      <c r="BA74" s="27"/>
      <c r="BB74" s="26"/>
      <c r="BC74" s="27"/>
      <c r="BD74" s="26"/>
      <c r="BE74" s="27"/>
      <c r="BF74" s="26"/>
      <c r="BH74" s="26"/>
      <c r="BI74" s="26"/>
      <c r="BJ74" s="26"/>
      <c r="BK74" s="26"/>
    </row>
    <row r="75" spans="3:63" x14ac:dyDescent="0.2">
      <c r="C75" s="26"/>
      <c r="D75" s="26"/>
      <c r="E75" s="26"/>
      <c r="F75" s="26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V75" s="27"/>
      <c r="AW75" s="27"/>
      <c r="AX75" s="27"/>
      <c r="AY75" s="27"/>
      <c r="AZ75" s="27"/>
      <c r="BA75" s="27"/>
      <c r="BB75" s="26"/>
      <c r="BC75" s="27"/>
      <c r="BD75" s="26"/>
      <c r="BE75" s="27"/>
      <c r="BF75" s="26"/>
      <c r="BH75" s="26"/>
      <c r="BI75" s="26"/>
      <c r="BJ75" s="26"/>
      <c r="BK75" s="26"/>
    </row>
    <row r="76" spans="3:63" x14ac:dyDescent="0.2">
      <c r="C76" s="26"/>
      <c r="D76" s="26"/>
      <c r="E76" s="26"/>
      <c r="F76" s="26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V76" s="27"/>
      <c r="AW76" s="27"/>
      <c r="AX76" s="27"/>
      <c r="AY76" s="27"/>
      <c r="AZ76" s="27"/>
      <c r="BA76" s="27"/>
      <c r="BB76" s="26"/>
      <c r="BC76" s="27"/>
      <c r="BD76" s="26"/>
      <c r="BE76" s="27"/>
      <c r="BF76" s="26"/>
      <c r="BH76" s="26"/>
      <c r="BI76" s="26"/>
      <c r="BJ76" s="26"/>
      <c r="BK76" s="26"/>
    </row>
    <row r="77" spans="3:63" x14ac:dyDescent="0.2">
      <c r="C77" s="26"/>
      <c r="D77" s="26"/>
      <c r="E77" s="26"/>
      <c r="F77" s="26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V77" s="27"/>
      <c r="AW77" s="27"/>
      <c r="AX77" s="27"/>
      <c r="AY77" s="27"/>
      <c r="AZ77" s="27"/>
      <c r="BA77" s="27"/>
      <c r="BB77" s="26"/>
      <c r="BC77" s="27"/>
      <c r="BD77" s="26"/>
      <c r="BE77" s="27"/>
      <c r="BF77" s="26"/>
      <c r="BH77" s="26"/>
      <c r="BI77" s="26"/>
      <c r="BJ77" s="26"/>
      <c r="BK77" s="26"/>
    </row>
    <row r="78" spans="3:63" x14ac:dyDescent="0.2">
      <c r="C78" s="26"/>
      <c r="D78" s="26"/>
      <c r="E78" s="26"/>
      <c r="F78" s="26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V78" s="27"/>
      <c r="AW78" s="27"/>
      <c r="AX78" s="27"/>
      <c r="AY78" s="27"/>
      <c r="AZ78" s="27"/>
      <c r="BA78" s="27"/>
      <c r="BB78" s="26"/>
      <c r="BC78" s="27"/>
      <c r="BD78" s="26"/>
      <c r="BE78" s="27"/>
      <c r="BF78" s="26"/>
      <c r="BH78" s="26"/>
      <c r="BI78" s="26"/>
      <c r="BJ78" s="26"/>
      <c r="BK78" s="26"/>
    </row>
    <row r="79" spans="3:63" x14ac:dyDescent="0.2">
      <c r="C79" s="26"/>
      <c r="D79" s="26"/>
      <c r="E79" s="26"/>
      <c r="F79" s="26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V79" s="27"/>
      <c r="AW79" s="27"/>
      <c r="AX79" s="27"/>
      <c r="AY79" s="27"/>
      <c r="AZ79" s="27"/>
      <c r="BA79" s="27"/>
      <c r="BB79" s="26"/>
      <c r="BC79" s="27"/>
      <c r="BD79" s="26"/>
      <c r="BE79" s="27"/>
      <c r="BF79" s="26"/>
      <c r="BH79" s="26"/>
      <c r="BI79" s="26"/>
      <c r="BJ79" s="26"/>
      <c r="BK79" s="26"/>
    </row>
    <row r="80" spans="3:63" x14ac:dyDescent="0.2">
      <c r="C80" s="26"/>
      <c r="D80" s="26"/>
      <c r="E80" s="26"/>
      <c r="F80" s="26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V80" s="27"/>
      <c r="AW80" s="27"/>
      <c r="AX80" s="27"/>
      <c r="AY80" s="27"/>
      <c r="AZ80" s="27"/>
      <c r="BA80" s="27"/>
      <c r="BB80" s="26"/>
      <c r="BC80" s="27"/>
      <c r="BD80" s="26"/>
      <c r="BE80" s="27"/>
      <c r="BF80" s="26"/>
      <c r="BH80" s="26"/>
      <c r="BI80" s="26"/>
      <c r="BJ80" s="26"/>
      <c r="BK80" s="26"/>
    </row>
    <row r="81" spans="3:63" x14ac:dyDescent="0.2">
      <c r="C81" s="26"/>
      <c r="D81" s="26"/>
      <c r="E81" s="26"/>
      <c r="F81" s="26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V81" s="27"/>
      <c r="AW81" s="27"/>
      <c r="AX81" s="27"/>
      <c r="AY81" s="27"/>
      <c r="AZ81" s="27"/>
      <c r="BA81" s="27"/>
      <c r="BB81" s="26"/>
      <c r="BC81" s="27"/>
      <c r="BD81" s="26"/>
      <c r="BE81" s="27"/>
      <c r="BF81" s="26"/>
      <c r="BH81" s="26"/>
      <c r="BI81" s="26"/>
      <c r="BJ81" s="26"/>
      <c r="BK81" s="26"/>
    </row>
    <row r="82" spans="3:63" x14ac:dyDescent="0.2">
      <c r="C82" s="26"/>
      <c r="D82" s="26"/>
      <c r="E82" s="26"/>
      <c r="F82" s="26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V82" s="27"/>
      <c r="AW82" s="27"/>
      <c r="AX82" s="27"/>
      <c r="AY82" s="27"/>
      <c r="AZ82" s="27"/>
      <c r="BA82" s="27"/>
      <c r="BB82" s="26"/>
      <c r="BC82" s="27"/>
      <c r="BD82" s="26"/>
      <c r="BE82" s="27"/>
      <c r="BF82" s="26"/>
      <c r="BH82" s="26"/>
      <c r="BI82" s="26"/>
      <c r="BJ82" s="26"/>
      <c r="BK82" s="26"/>
    </row>
    <row r="83" spans="3:63" x14ac:dyDescent="0.2">
      <c r="C83" s="26"/>
      <c r="D83" s="26"/>
      <c r="E83" s="26"/>
      <c r="F83" s="26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V83" s="27"/>
      <c r="AW83" s="27"/>
      <c r="AX83" s="27"/>
      <c r="AY83" s="27"/>
      <c r="AZ83" s="27"/>
      <c r="BA83" s="27"/>
      <c r="BB83" s="26"/>
      <c r="BC83" s="27"/>
      <c r="BD83" s="26"/>
      <c r="BE83" s="27"/>
      <c r="BF83" s="26"/>
      <c r="BH83" s="26"/>
      <c r="BI83" s="26"/>
      <c r="BJ83" s="26"/>
      <c r="BK83" s="26"/>
    </row>
    <row r="84" spans="3:63" x14ac:dyDescent="0.2">
      <c r="C84" s="26"/>
      <c r="D84" s="26"/>
      <c r="E84" s="26"/>
      <c r="F84" s="26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V84" s="27"/>
      <c r="AW84" s="27"/>
      <c r="AX84" s="27"/>
      <c r="AY84" s="27"/>
      <c r="AZ84" s="27"/>
      <c r="BA84" s="27"/>
      <c r="BB84" s="26"/>
      <c r="BC84" s="27"/>
      <c r="BD84" s="26"/>
      <c r="BE84" s="27"/>
      <c r="BF84" s="26"/>
      <c r="BH84" s="26"/>
      <c r="BI84" s="26"/>
      <c r="BJ84" s="26"/>
      <c r="BK84" s="26"/>
    </row>
    <row r="85" spans="3:63" x14ac:dyDescent="0.2">
      <c r="C85" s="26"/>
      <c r="D85" s="26"/>
      <c r="E85" s="26"/>
      <c r="F85" s="26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V85" s="27"/>
      <c r="AW85" s="27"/>
      <c r="AX85" s="27"/>
      <c r="AY85" s="27"/>
      <c r="AZ85" s="27"/>
      <c r="BA85" s="27"/>
      <c r="BB85" s="26"/>
      <c r="BC85" s="27"/>
      <c r="BD85" s="26"/>
      <c r="BE85" s="27"/>
      <c r="BF85" s="26"/>
      <c r="BH85" s="26"/>
      <c r="BI85" s="26"/>
      <c r="BJ85" s="26"/>
      <c r="BK85" s="26"/>
    </row>
    <row r="86" spans="3:63" x14ac:dyDescent="0.2">
      <c r="C86" s="26"/>
      <c r="D86" s="26"/>
      <c r="E86" s="26"/>
      <c r="F86" s="26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V86" s="27"/>
      <c r="AW86" s="27"/>
      <c r="AX86" s="27"/>
      <c r="AY86" s="27"/>
      <c r="AZ86" s="27"/>
      <c r="BA86" s="27"/>
      <c r="BB86" s="26"/>
      <c r="BC86" s="27"/>
      <c r="BD86" s="26"/>
      <c r="BE86" s="27"/>
      <c r="BF86" s="26"/>
      <c r="BH86" s="26"/>
      <c r="BI86" s="26"/>
      <c r="BJ86" s="26"/>
      <c r="BK86" s="26"/>
    </row>
    <row r="87" spans="3:63" x14ac:dyDescent="0.2">
      <c r="C87" s="26"/>
      <c r="D87" s="26"/>
      <c r="E87" s="26"/>
      <c r="F87" s="26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V87" s="27"/>
      <c r="AW87" s="27"/>
      <c r="AX87" s="27"/>
      <c r="AY87" s="27"/>
      <c r="AZ87" s="27"/>
      <c r="BA87" s="27"/>
      <c r="BB87" s="26"/>
      <c r="BC87" s="27"/>
      <c r="BD87" s="26"/>
      <c r="BE87" s="27"/>
      <c r="BF87" s="26"/>
      <c r="BH87" s="26"/>
      <c r="BI87" s="26"/>
      <c r="BJ87" s="26"/>
      <c r="BK87" s="26"/>
    </row>
    <row r="88" spans="3:63" x14ac:dyDescent="0.2">
      <c r="C88" s="26"/>
      <c r="D88" s="26"/>
      <c r="E88" s="26"/>
      <c r="F88" s="26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V88" s="27"/>
      <c r="AW88" s="27"/>
      <c r="AX88" s="27"/>
      <c r="AY88" s="27"/>
      <c r="AZ88" s="27"/>
      <c r="BA88" s="27"/>
      <c r="BB88" s="26"/>
      <c r="BC88" s="27"/>
      <c r="BD88" s="26"/>
      <c r="BE88" s="27"/>
      <c r="BF88" s="26"/>
      <c r="BH88" s="26"/>
      <c r="BI88" s="26"/>
      <c r="BJ88" s="26"/>
      <c r="BK88" s="26"/>
    </row>
    <row r="89" spans="3:63" x14ac:dyDescent="0.2">
      <c r="C89" s="26"/>
      <c r="D89" s="26"/>
      <c r="E89" s="26"/>
      <c r="F89" s="26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V89" s="27"/>
      <c r="AW89" s="27"/>
      <c r="AX89" s="27"/>
      <c r="AY89" s="27"/>
      <c r="AZ89" s="27"/>
      <c r="BA89" s="27"/>
      <c r="BB89" s="26"/>
      <c r="BC89" s="27"/>
      <c r="BD89" s="26"/>
      <c r="BE89" s="27"/>
      <c r="BF89" s="26"/>
      <c r="BH89" s="26"/>
      <c r="BI89" s="26"/>
      <c r="BJ89" s="26"/>
      <c r="BK89" s="26"/>
    </row>
    <row r="90" spans="3:63" x14ac:dyDescent="0.2">
      <c r="C90" s="26"/>
      <c r="D90" s="26"/>
      <c r="E90" s="26"/>
      <c r="F90" s="26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V90" s="27"/>
      <c r="AW90" s="27"/>
      <c r="AX90" s="27"/>
      <c r="AY90" s="27"/>
      <c r="AZ90" s="27"/>
      <c r="BA90" s="27"/>
      <c r="BB90" s="26"/>
      <c r="BC90" s="27"/>
      <c r="BD90" s="26"/>
      <c r="BE90" s="27"/>
      <c r="BF90" s="26"/>
      <c r="BH90" s="26"/>
      <c r="BI90" s="26"/>
      <c r="BJ90" s="26"/>
      <c r="BK90" s="26"/>
    </row>
    <row r="91" spans="3:63" x14ac:dyDescent="0.2">
      <c r="C91" s="26"/>
      <c r="D91" s="26"/>
      <c r="E91" s="26"/>
      <c r="F91" s="26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V91" s="27"/>
      <c r="AW91" s="27"/>
      <c r="AX91" s="27"/>
      <c r="AY91" s="27"/>
      <c r="AZ91" s="27"/>
      <c r="BA91" s="27"/>
      <c r="BB91" s="26"/>
      <c r="BC91" s="27"/>
      <c r="BD91" s="26"/>
      <c r="BE91" s="27"/>
      <c r="BF91" s="26"/>
      <c r="BH91" s="26"/>
      <c r="BI91" s="26"/>
      <c r="BJ91" s="26"/>
      <c r="BK91" s="26"/>
    </row>
    <row r="92" spans="3:63" x14ac:dyDescent="0.2">
      <c r="C92" s="26"/>
      <c r="D92" s="26"/>
      <c r="E92" s="26"/>
      <c r="F92" s="26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V92" s="27"/>
      <c r="AW92" s="27"/>
      <c r="AX92" s="27"/>
      <c r="AY92" s="27"/>
      <c r="AZ92" s="27"/>
      <c r="BA92" s="27"/>
      <c r="BB92" s="26"/>
      <c r="BC92" s="27"/>
      <c r="BD92" s="26"/>
      <c r="BE92" s="27"/>
      <c r="BF92" s="26"/>
      <c r="BH92" s="26"/>
      <c r="BI92" s="26"/>
      <c r="BJ92" s="26"/>
      <c r="BK92" s="26"/>
    </row>
    <row r="93" spans="3:63" x14ac:dyDescent="0.2">
      <c r="C93" s="26"/>
      <c r="D93" s="26"/>
      <c r="E93" s="26"/>
      <c r="F93" s="26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V93" s="27"/>
      <c r="AW93" s="27"/>
      <c r="AX93" s="27"/>
      <c r="AY93" s="27"/>
      <c r="AZ93" s="27"/>
      <c r="BA93" s="27"/>
      <c r="BB93" s="26"/>
      <c r="BC93" s="27"/>
      <c r="BD93" s="26"/>
      <c r="BE93" s="27"/>
      <c r="BF93" s="26"/>
      <c r="BH93" s="26"/>
      <c r="BI93" s="26"/>
      <c r="BJ93" s="26"/>
      <c r="BK93" s="26"/>
    </row>
    <row r="94" spans="3:63" x14ac:dyDescent="0.2">
      <c r="C94" s="26"/>
      <c r="D94" s="26"/>
      <c r="E94" s="26"/>
      <c r="F94" s="26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V94" s="27"/>
      <c r="AW94" s="27"/>
      <c r="AX94" s="27"/>
      <c r="AY94" s="27"/>
      <c r="AZ94" s="27"/>
      <c r="BA94" s="27"/>
      <c r="BB94" s="26"/>
      <c r="BC94" s="27"/>
      <c r="BD94" s="26"/>
      <c r="BE94" s="27"/>
      <c r="BF94" s="26"/>
      <c r="BH94" s="26"/>
      <c r="BI94" s="26"/>
      <c r="BJ94" s="26"/>
      <c r="BK94" s="26"/>
    </row>
    <row r="95" spans="3:63" x14ac:dyDescent="0.2">
      <c r="C95" s="26"/>
      <c r="D95" s="26"/>
      <c r="E95" s="26"/>
      <c r="F95" s="26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V95" s="27"/>
      <c r="AW95" s="27"/>
      <c r="AX95" s="27"/>
      <c r="AY95" s="27"/>
      <c r="AZ95" s="27"/>
      <c r="BA95" s="27"/>
      <c r="BB95" s="26"/>
      <c r="BC95" s="27"/>
      <c r="BD95" s="26"/>
      <c r="BE95" s="27"/>
      <c r="BF95" s="26"/>
      <c r="BH95" s="26"/>
      <c r="BI95" s="26"/>
      <c r="BJ95" s="26"/>
      <c r="BK95" s="26"/>
    </row>
    <row r="96" spans="3:63" x14ac:dyDescent="0.2">
      <c r="C96" s="26"/>
      <c r="D96" s="26"/>
      <c r="E96" s="26"/>
      <c r="F96" s="26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V96" s="27"/>
      <c r="AW96" s="27"/>
      <c r="AX96" s="27"/>
      <c r="AY96" s="27"/>
      <c r="AZ96" s="27"/>
      <c r="BA96" s="27"/>
      <c r="BB96" s="26"/>
      <c r="BC96" s="27"/>
      <c r="BD96" s="26"/>
      <c r="BE96" s="27"/>
      <c r="BF96" s="26"/>
      <c r="BH96" s="26"/>
      <c r="BI96" s="26"/>
      <c r="BJ96" s="26"/>
      <c r="BK96" s="26"/>
    </row>
    <row r="97" spans="3:63" x14ac:dyDescent="0.2">
      <c r="C97" s="26"/>
      <c r="D97" s="26"/>
      <c r="E97" s="26"/>
      <c r="F97" s="26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V97" s="27"/>
      <c r="AW97" s="27"/>
      <c r="AX97" s="27"/>
      <c r="AY97" s="27"/>
      <c r="AZ97" s="27"/>
      <c r="BA97" s="27"/>
      <c r="BB97" s="26"/>
      <c r="BC97" s="27"/>
      <c r="BD97" s="26"/>
      <c r="BE97" s="27"/>
      <c r="BF97" s="26"/>
      <c r="BH97" s="26"/>
      <c r="BI97" s="26"/>
      <c r="BJ97" s="26"/>
      <c r="BK97" s="26"/>
    </row>
    <row r="98" spans="3:63" x14ac:dyDescent="0.2">
      <c r="C98" s="26"/>
      <c r="D98" s="26"/>
      <c r="E98" s="26"/>
      <c r="F98" s="26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V98" s="27"/>
      <c r="AW98" s="27"/>
      <c r="AX98" s="27"/>
      <c r="AY98" s="27"/>
      <c r="AZ98" s="27"/>
      <c r="BA98" s="27"/>
      <c r="BB98" s="26"/>
      <c r="BC98" s="27"/>
      <c r="BD98" s="26"/>
      <c r="BE98" s="27"/>
      <c r="BF98" s="26"/>
      <c r="BH98" s="26"/>
      <c r="BI98" s="26"/>
      <c r="BJ98" s="26"/>
      <c r="BK98" s="26"/>
    </row>
    <row r="99" spans="3:63" x14ac:dyDescent="0.2">
      <c r="C99" s="26"/>
      <c r="D99" s="26"/>
      <c r="E99" s="26"/>
      <c r="F99" s="26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V99" s="27"/>
      <c r="AW99" s="27"/>
      <c r="AX99" s="27"/>
      <c r="AY99" s="27"/>
      <c r="AZ99" s="27"/>
      <c r="BA99" s="27"/>
      <c r="BB99" s="26"/>
      <c r="BC99" s="27"/>
      <c r="BD99" s="26"/>
      <c r="BE99" s="27"/>
      <c r="BF99" s="26"/>
      <c r="BH99" s="26"/>
      <c r="BI99" s="26"/>
      <c r="BJ99" s="26"/>
      <c r="BK99" s="26"/>
    </row>
    <row r="100" spans="3:63" x14ac:dyDescent="0.2">
      <c r="C100" s="26"/>
      <c r="D100" s="26"/>
      <c r="E100" s="26"/>
      <c r="F100" s="26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V100" s="27"/>
      <c r="AW100" s="27"/>
      <c r="AX100" s="27"/>
      <c r="AY100" s="27"/>
      <c r="AZ100" s="27"/>
      <c r="BA100" s="27"/>
      <c r="BB100" s="26"/>
      <c r="BC100" s="27"/>
      <c r="BD100" s="26"/>
      <c r="BE100" s="27"/>
      <c r="BF100" s="26"/>
      <c r="BH100" s="26"/>
      <c r="BI100" s="26"/>
      <c r="BJ100" s="26"/>
      <c r="BK100" s="26"/>
    </row>
    <row r="101" spans="3:63" x14ac:dyDescent="0.2">
      <c r="C101" s="26"/>
      <c r="D101" s="26"/>
      <c r="E101" s="26"/>
      <c r="F101" s="26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V101" s="27"/>
      <c r="AW101" s="27"/>
      <c r="AX101" s="27"/>
      <c r="AY101" s="27"/>
      <c r="AZ101" s="27"/>
      <c r="BA101" s="27"/>
      <c r="BB101" s="26"/>
      <c r="BC101" s="27"/>
      <c r="BD101" s="26"/>
      <c r="BE101" s="27"/>
      <c r="BF101" s="26"/>
      <c r="BH101" s="26"/>
      <c r="BI101" s="26"/>
      <c r="BJ101" s="26"/>
      <c r="BK101" s="26"/>
    </row>
    <row r="102" spans="3:63" x14ac:dyDescent="0.2">
      <c r="C102" s="26"/>
      <c r="D102" s="26"/>
      <c r="E102" s="26"/>
      <c r="F102" s="26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V102" s="27"/>
      <c r="AW102" s="27"/>
      <c r="AX102" s="27"/>
      <c r="AY102" s="27"/>
      <c r="AZ102" s="27"/>
      <c r="BA102" s="27"/>
      <c r="BB102" s="26"/>
      <c r="BC102" s="27"/>
      <c r="BD102" s="26"/>
      <c r="BE102" s="27"/>
      <c r="BF102" s="26"/>
      <c r="BH102" s="26"/>
      <c r="BI102" s="26"/>
      <c r="BJ102" s="26"/>
      <c r="BK102" s="26"/>
    </row>
    <row r="103" spans="3:63" x14ac:dyDescent="0.2">
      <c r="C103" s="26"/>
      <c r="D103" s="26"/>
      <c r="E103" s="26"/>
      <c r="F103" s="26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V103" s="27"/>
      <c r="AW103" s="27"/>
      <c r="AX103" s="27"/>
      <c r="AY103" s="27"/>
      <c r="AZ103" s="27"/>
      <c r="BA103" s="27"/>
      <c r="BB103" s="26"/>
      <c r="BC103" s="27"/>
      <c r="BD103" s="26"/>
      <c r="BE103" s="27"/>
      <c r="BF103" s="26"/>
      <c r="BH103" s="26"/>
      <c r="BI103" s="26"/>
      <c r="BJ103" s="26"/>
      <c r="BK103" s="26"/>
    </row>
    <row r="104" spans="3:63" x14ac:dyDescent="0.2">
      <c r="C104" s="26"/>
      <c r="D104" s="26"/>
      <c r="E104" s="26"/>
      <c r="F104" s="26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V104" s="27"/>
      <c r="AW104" s="27"/>
      <c r="AX104" s="27"/>
      <c r="AY104" s="27"/>
      <c r="AZ104" s="27"/>
      <c r="BA104" s="27"/>
      <c r="BB104" s="26"/>
      <c r="BC104" s="27"/>
      <c r="BD104" s="26"/>
      <c r="BE104" s="27"/>
      <c r="BF104" s="26"/>
      <c r="BH104" s="26"/>
      <c r="BI104" s="26"/>
      <c r="BJ104" s="26"/>
      <c r="BK104" s="26"/>
    </row>
    <row r="105" spans="3:63" x14ac:dyDescent="0.2">
      <c r="C105" s="26"/>
      <c r="D105" s="26"/>
      <c r="E105" s="26"/>
      <c r="F105" s="26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V105" s="27"/>
      <c r="AW105" s="27"/>
      <c r="AX105" s="27"/>
      <c r="AY105" s="27"/>
      <c r="AZ105" s="27"/>
      <c r="BA105" s="27"/>
      <c r="BB105" s="26"/>
      <c r="BC105" s="27"/>
      <c r="BD105" s="26"/>
      <c r="BE105" s="27"/>
      <c r="BF105" s="26"/>
      <c r="BH105" s="26"/>
      <c r="BI105" s="26"/>
      <c r="BJ105" s="26"/>
      <c r="BK105" s="26"/>
    </row>
    <row r="106" spans="3:63" x14ac:dyDescent="0.2">
      <c r="C106" s="26"/>
      <c r="D106" s="26"/>
      <c r="E106" s="26"/>
      <c r="F106" s="26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V106" s="27"/>
      <c r="AW106" s="27"/>
      <c r="AX106" s="27"/>
      <c r="AY106" s="27"/>
      <c r="AZ106" s="27"/>
      <c r="BA106" s="27"/>
      <c r="BB106" s="26"/>
      <c r="BC106" s="27"/>
      <c r="BD106" s="26"/>
      <c r="BE106" s="27"/>
      <c r="BF106" s="26"/>
      <c r="BH106" s="26"/>
      <c r="BI106" s="26"/>
      <c r="BJ106" s="26"/>
      <c r="BK106" s="26"/>
    </row>
    <row r="107" spans="3:63" x14ac:dyDescent="0.2">
      <c r="C107" s="26"/>
      <c r="D107" s="26"/>
      <c r="E107" s="26"/>
      <c r="F107" s="26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V107" s="27"/>
      <c r="AW107" s="27"/>
      <c r="AX107" s="27"/>
      <c r="AY107" s="27"/>
      <c r="AZ107" s="27"/>
      <c r="BA107" s="27"/>
      <c r="BB107" s="26"/>
      <c r="BC107" s="27"/>
      <c r="BD107" s="26"/>
      <c r="BE107" s="27"/>
      <c r="BF107" s="26"/>
      <c r="BH107" s="26"/>
      <c r="BI107" s="26"/>
      <c r="BJ107" s="26"/>
      <c r="BK107" s="26"/>
    </row>
    <row r="108" spans="3:63" x14ac:dyDescent="0.2">
      <c r="C108" s="26"/>
      <c r="D108" s="26"/>
      <c r="E108" s="26"/>
      <c r="F108" s="26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V108" s="27"/>
      <c r="AW108" s="27"/>
      <c r="AX108" s="27"/>
      <c r="AY108" s="27"/>
      <c r="AZ108" s="27"/>
      <c r="BA108" s="27"/>
      <c r="BB108" s="26"/>
      <c r="BC108" s="27"/>
      <c r="BD108" s="26"/>
      <c r="BE108" s="27"/>
      <c r="BF108" s="26"/>
      <c r="BH108" s="26"/>
      <c r="BI108" s="26"/>
      <c r="BJ108" s="26"/>
      <c r="BK108" s="26"/>
    </row>
    <row r="109" spans="3:63" x14ac:dyDescent="0.2">
      <c r="C109" s="26"/>
      <c r="D109" s="26"/>
      <c r="E109" s="26"/>
      <c r="F109" s="26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V109" s="27"/>
      <c r="AW109" s="27"/>
      <c r="AX109" s="27"/>
      <c r="AY109" s="27"/>
      <c r="AZ109" s="27"/>
      <c r="BA109" s="27"/>
      <c r="BB109" s="26"/>
      <c r="BC109" s="27"/>
      <c r="BD109" s="26"/>
      <c r="BE109" s="27"/>
      <c r="BF109" s="26"/>
      <c r="BH109" s="26"/>
      <c r="BI109" s="26"/>
      <c r="BJ109" s="26"/>
      <c r="BK109" s="26"/>
    </row>
    <row r="110" spans="3:63" x14ac:dyDescent="0.2">
      <c r="C110" s="26"/>
      <c r="D110" s="26"/>
      <c r="E110" s="26"/>
      <c r="F110" s="26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V110" s="27"/>
      <c r="AW110" s="27"/>
      <c r="AX110" s="27"/>
      <c r="AY110" s="27"/>
      <c r="AZ110" s="27"/>
      <c r="BA110" s="27"/>
      <c r="BB110" s="26"/>
      <c r="BC110" s="27"/>
      <c r="BD110" s="26"/>
      <c r="BE110" s="27"/>
      <c r="BF110" s="26"/>
      <c r="BH110" s="26"/>
      <c r="BI110" s="26"/>
      <c r="BJ110" s="26"/>
      <c r="BK110" s="26"/>
    </row>
    <row r="111" spans="3:63" x14ac:dyDescent="0.2">
      <c r="C111" s="26"/>
      <c r="D111" s="26"/>
      <c r="E111" s="26"/>
      <c r="F111" s="26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V111" s="27"/>
      <c r="AW111" s="27"/>
      <c r="AX111" s="27"/>
      <c r="AY111" s="27"/>
      <c r="AZ111" s="27"/>
      <c r="BA111" s="27"/>
      <c r="BB111" s="26"/>
      <c r="BC111" s="27"/>
      <c r="BD111" s="26"/>
      <c r="BE111" s="27"/>
      <c r="BF111" s="26"/>
      <c r="BH111" s="26"/>
      <c r="BI111" s="26"/>
      <c r="BJ111" s="26"/>
      <c r="BK111" s="26"/>
    </row>
    <row r="112" spans="3:63" x14ac:dyDescent="0.2">
      <c r="C112" s="26"/>
      <c r="D112" s="26"/>
      <c r="E112" s="26"/>
      <c r="F112" s="26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V112" s="27"/>
      <c r="AW112" s="27"/>
      <c r="AX112" s="27"/>
      <c r="AY112" s="27"/>
      <c r="AZ112" s="27"/>
      <c r="BA112" s="27"/>
      <c r="BB112" s="26"/>
      <c r="BC112" s="27"/>
      <c r="BD112" s="26"/>
      <c r="BE112" s="27"/>
      <c r="BF112" s="26"/>
      <c r="BH112" s="26"/>
      <c r="BI112" s="26"/>
      <c r="BJ112" s="26"/>
      <c r="BK112" s="26"/>
    </row>
    <row r="113" spans="3:63" x14ac:dyDescent="0.2">
      <c r="C113" s="26"/>
      <c r="D113" s="26"/>
      <c r="E113" s="26"/>
      <c r="F113" s="26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7"/>
      <c r="AT113" s="27"/>
      <c r="AV113" s="27"/>
      <c r="AW113" s="27"/>
      <c r="AX113" s="27"/>
      <c r="AY113" s="27"/>
      <c r="AZ113" s="27"/>
      <c r="BA113" s="27"/>
      <c r="BB113" s="26"/>
      <c r="BC113" s="27"/>
      <c r="BD113" s="26"/>
      <c r="BE113" s="27"/>
      <c r="BF113" s="26"/>
      <c r="BH113" s="26"/>
      <c r="BI113" s="26"/>
      <c r="BJ113" s="26"/>
      <c r="BK113" s="26"/>
    </row>
    <row r="114" spans="3:63" x14ac:dyDescent="0.2">
      <c r="C114" s="26"/>
      <c r="D114" s="26"/>
      <c r="E114" s="26"/>
      <c r="F114" s="26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V114" s="27"/>
      <c r="AW114" s="27"/>
      <c r="AX114" s="27"/>
      <c r="AY114" s="27"/>
      <c r="AZ114" s="27"/>
      <c r="BA114" s="27"/>
      <c r="BB114" s="26"/>
      <c r="BC114" s="27"/>
      <c r="BD114" s="26"/>
      <c r="BE114" s="27"/>
      <c r="BF114" s="26"/>
      <c r="BH114" s="26"/>
      <c r="BI114" s="26"/>
      <c r="BJ114" s="26"/>
      <c r="BK114" s="26"/>
    </row>
    <row r="115" spans="3:63" x14ac:dyDescent="0.2">
      <c r="C115" s="26"/>
      <c r="D115" s="26"/>
      <c r="E115" s="26"/>
      <c r="F115" s="26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V115" s="27"/>
      <c r="AW115" s="27"/>
      <c r="AX115" s="27"/>
      <c r="AY115" s="27"/>
      <c r="AZ115" s="27"/>
      <c r="BA115" s="27"/>
      <c r="BB115" s="26"/>
      <c r="BC115" s="27"/>
      <c r="BD115" s="26"/>
      <c r="BE115" s="27"/>
      <c r="BF115" s="26"/>
      <c r="BH115" s="26"/>
      <c r="BI115" s="26"/>
      <c r="BJ115" s="26"/>
      <c r="BK115" s="26"/>
    </row>
    <row r="116" spans="3:63" x14ac:dyDescent="0.2">
      <c r="C116" s="26"/>
      <c r="D116" s="26"/>
      <c r="E116" s="26"/>
      <c r="F116" s="26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V116" s="27"/>
      <c r="AW116" s="27"/>
      <c r="AX116" s="27"/>
      <c r="AY116" s="27"/>
      <c r="AZ116" s="27"/>
      <c r="BA116" s="27"/>
      <c r="BB116" s="26"/>
      <c r="BC116" s="27"/>
      <c r="BD116" s="26"/>
      <c r="BE116" s="27"/>
      <c r="BF116" s="26"/>
      <c r="BH116" s="26"/>
      <c r="BI116" s="26"/>
      <c r="BJ116" s="26"/>
      <c r="BK116" s="26"/>
    </row>
    <row r="117" spans="3:63" x14ac:dyDescent="0.2">
      <c r="C117" s="26"/>
      <c r="D117" s="26"/>
      <c r="E117" s="26"/>
      <c r="F117" s="26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V117" s="27"/>
      <c r="AW117" s="27"/>
      <c r="AX117" s="27"/>
      <c r="AY117" s="27"/>
      <c r="AZ117" s="27"/>
      <c r="BA117" s="27"/>
      <c r="BB117" s="26"/>
      <c r="BC117" s="27"/>
      <c r="BD117" s="26"/>
      <c r="BE117" s="27"/>
      <c r="BF117" s="26"/>
      <c r="BH117" s="26"/>
      <c r="BI117" s="26"/>
      <c r="BJ117" s="26"/>
      <c r="BK117" s="26"/>
    </row>
    <row r="118" spans="3:63" x14ac:dyDescent="0.2">
      <c r="C118" s="26"/>
      <c r="D118" s="26"/>
      <c r="E118" s="26"/>
      <c r="F118" s="26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V118" s="27"/>
      <c r="AW118" s="27"/>
      <c r="AX118" s="27"/>
      <c r="AY118" s="27"/>
      <c r="AZ118" s="27"/>
      <c r="BA118" s="27"/>
      <c r="BB118" s="26"/>
      <c r="BC118" s="27"/>
      <c r="BD118" s="26"/>
      <c r="BE118" s="27"/>
      <c r="BF118" s="26"/>
      <c r="BH118" s="26"/>
      <c r="BI118" s="26"/>
      <c r="BJ118" s="26"/>
      <c r="BK118" s="26"/>
    </row>
    <row r="119" spans="3:63" x14ac:dyDescent="0.2">
      <c r="C119" s="26"/>
      <c r="D119" s="26"/>
      <c r="E119" s="26"/>
      <c r="F119" s="26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V119" s="27"/>
      <c r="AW119" s="27"/>
      <c r="AX119" s="27"/>
      <c r="AY119" s="27"/>
      <c r="AZ119" s="27"/>
      <c r="BA119" s="27"/>
      <c r="BB119" s="26"/>
      <c r="BC119" s="27"/>
      <c r="BD119" s="26"/>
      <c r="BE119" s="27"/>
      <c r="BF119" s="26"/>
      <c r="BH119" s="26"/>
      <c r="BI119" s="26"/>
      <c r="BJ119" s="26"/>
      <c r="BK119" s="26"/>
    </row>
    <row r="120" spans="3:63" x14ac:dyDescent="0.2">
      <c r="C120" s="26"/>
      <c r="D120" s="26"/>
      <c r="E120" s="26"/>
      <c r="F120" s="26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V120" s="27"/>
      <c r="AW120" s="27"/>
      <c r="AX120" s="27"/>
      <c r="AY120" s="27"/>
      <c r="AZ120" s="27"/>
      <c r="BA120" s="27"/>
      <c r="BB120" s="26"/>
      <c r="BC120" s="27"/>
      <c r="BD120" s="26"/>
      <c r="BE120" s="27"/>
      <c r="BF120" s="26"/>
      <c r="BH120" s="26"/>
      <c r="BI120" s="26"/>
      <c r="BJ120" s="26"/>
      <c r="BK120" s="26"/>
    </row>
    <row r="121" spans="3:63" x14ac:dyDescent="0.2">
      <c r="C121" s="26"/>
      <c r="D121" s="26"/>
      <c r="E121" s="26"/>
      <c r="F121" s="26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V121" s="27"/>
      <c r="AW121" s="27"/>
      <c r="AX121" s="27"/>
      <c r="AY121" s="27"/>
      <c r="AZ121" s="27"/>
      <c r="BA121" s="27"/>
      <c r="BB121" s="26"/>
      <c r="BC121" s="27"/>
      <c r="BD121" s="26"/>
      <c r="BE121" s="27"/>
      <c r="BF121" s="26"/>
      <c r="BH121" s="26"/>
      <c r="BI121" s="26"/>
      <c r="BJ121" s="26"/>
      <c r="BK121" s="26"/>
    </row>
    <row r="122" spans="3:63" x14ac:dyDescent="0.2">
      <c r="C122" s="26"/>
      <c r="D122" s="26"/>
      <c r="E122" s="26"/>
      <c r="F122" s="26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V122" s="27"/>
      <c r="AW122" s="27"/>
      <c r="AX122" s="27"/>
      <c r="AY122" s="27"/>
      <c r="AZ122" s="27"/>
      <c r="BA122" s="27"/>
      <c r="BB122" s="26"/>
      <c r="BC122" s="27"/>
      <c r="BD122" s="26"/>
      <c r="BE122" s="27"/>
      <c r="BF122" s="26"/>
      <c r="BH122" s="26"/>
      <c r="BI122" s="26"/>
      <c r="BJ122" s="26"/>
      <c r="BK122" s="26"/>
    </row>
    <row r="123" spans="3:63" x14ac:dyDescent="0.2">
      <c r="C123" s="26"/>
      <c r="D123" s="26"/>
      <c r="E123" s="26"/>
      <c r="F123" s="2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V123" s="27"/>
      <c r="AW123" s="27"/>
      <c r="AX123" s="27"/>
      <c r="AY123" s="27"/>
      <c r="AZ123" s="27"/>
      <c r="BA123" s="27"/>
      <c r="BB123" s="26"/>
      <c r="BC123" s="27"/>
      <c r="BD123" s="26"/>
      <c r="BE123" s="27"/>
      <c r="BF123" s="26"/>
      <c r="BH123" s="26"/>
      <c r="BI123" s="26"/>
      <c r="BJ123" s="26"/>
      <c r="BK123" s="26"/>
    </row>
    <row r="124" spans="3:63" x14ac:dyDescent="0.2">
      <c r="C124" s="26"/>
      <c r="D124" s="26"/>
      <c r="E124" s="26"/>
      <c r="F124" s="26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V124" s="27"/>
      <c r="AW124" s="27"/>
      <c r="AX124" s="27"/>
      <c r="AY124" s="27"/>
      <c r="AZ124" s="27"/>
      <c r="BA124" s="27"/>
      <c r="BB124" s="26"/>
      <c r="BC124" s="27"/>
      <c r="BD124" s="26"/>
      <c r="BE124" s="27"/>
      <c r="BF124" s="26"/>
      <c r="BH124" s="26"/>
      <c r="BI124" s="26"/>
      <c r="BJ124" s="26"/>
      <c r="BK124" s="26"/>
    </row>
    <row r="125" spans="3:63" x14ac:dyDescent="0.2">
      <c r="C125" s="26"/>
      <c r="D125" s="26"/>
      <c r="E125" s="26"/>
      <c r="F125" s="26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V125" s="27"/>
      <c r="AW125" s="27"/>
      <c r="AX125" s="27"/>
      <c r="AY125" s="27"/>
      <c r="AZ125" s="27"/>
      <c r="BA125" s="27"/>
      <c r="BB125" s="26"/>
      <c r="BC125" s="27"/>
      <c r="BD125" s="26"/>
      <c r="BE125" s="27"/>
      <c r="BF125" s="26"/>
      <c r="BH125" s="26"/>
      <c r="BI125" s="26"/>
      <c r="BJ125" s="26"/>
      <c r="BK125" s="26"/>
    </row>
    <row r="126" spans="3:63" x14ac:dyDescent="0.2">
      <c r="C126" s="26"/>
      <c r="D126" s="26"/>
      <c r="E126" s="26"/>
      <c r="F126" s="26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V126" s="27"/>
      <c r="AW126" s="27"/>
      <c r="AX126" s="27"/>
      <c r="AY126" s="27"/>
      <c r="AZ126" s="27"/>
      <c r="BA126" s="27"/>
      <c r="BB126" s="26"/>
      <c r="BC126" s="27"/>
      <c r="BD126" s="26"/>
      <c r="BE126" s="27"/>
      <c r="BF126" s="26"/>
      <c r="BH126" s="26"/>
      <c r="BI126" s="26"/>
      <c r="BJ126" s="26"/>
      <c r="BK126" s="26"/>
    </row>
    <row r="127" spans="3:63" x14ac:dyDescent="0.2">
      <c r="C127" s="26"/>
      <c r="D127" s="26"/>
      <c r="E127" s="26"/>
      <c r="F127" s="26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V127" s="27"/>
      <c r="AW127" s="27"/>
      <c r="AX127" s="27"/>
      <c r="AY127" s="27"/>
      <c r="AZ127" s="27"/>
      <c r="BA127" s="27"/>
      <c r="BB127" s="26"/>
      <c r="BC127" s="27"/>
      <c r="BD127" s="26"/>
      <c r="BE127" s="27"/>
      <c r="BF127" s="26"/>
      <c r="BH127" s="26"/>
      <c r="BI127" s="26"/>
      <c r="BJ127" s="26"/>
      <c r="BK127" s="26"/>
    </row>
    <row r="128" spans="3:63" x14ac:dyDescent="0.2">
      <c r="C128" s="26"/>
      <c r="D128" s="26"/>
      <c r="E128" s="26"/>
      <c r="F128" s="26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V128" s="27"/>
      <c r="AW128" s="27"/>
      <c r="AX128" s="27"/>
      <c r="AY128" s="27"/>
      <c r="AZ128" s="27"/>
      <c r="BA128" s="27"/>
      <c r="BB128" s="26"/>
      <c r="BC128" s="27"/>
      <c r="BD128" s="26"/>
      <c r="BE128" s="27"/>
      <c r="BF128" s="26"/>
      <c r="BH128" s="26"/>
      <c r="BI128" s="26"/>
      <c r="BJ128" s="26"/>
      <c r="BK128" s="26"/>
    </row>
    <row r="129" spans="3:63" x14ac:dyDescent="0.2">
      <c r="C129" s="26"/>
      <c r="D129" s="26"/>
      <c r="E129" s="26"/>
      <c r="F129" s="26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V129" s="27"/>
      <c r="AW129" s="27"/>
      <c r="AX129" s="27"/>
      <c r="AY129" s="27"/>
      <c r="AZ129" s="27"/>
      <c r="BA129" s="27"/>
      <c r="BB129" s="26"/>
      <c r="BC129" s="27"/>
      <c r="BD129" s="26"/>
      <c r="BE129" s="27"/>
      <c r="BF129" s="26"/>
      <c r="BH129" s="26"/>
      <c r="BI129" s="26"/>
      <c r="BJ129" s="26"/>
      <c r="BK129" s="26"/>
    </row>
    <row r="130" spans="3:63" x14ac:dyDescent="0.2">
      <c r="C130" s="26"/>
      <c r="D130" s="26"/>
      <c r="E130" s="26"/>
      <c r="F130" s="26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V130" s="27"/>
      <c r="AW130" s="27"/>
      <c r="AX130" s="27"/>
      <c r="AY130" s="27"/>
      <c r="AZ130" s="27"/>
      <c r="BA130" s="27"/>
      <c r="BB130" s="26"/>
      <c r="BC130" s="27"/>
      <c r="BD130" s="26"/>
      <c r="BE130" s="27"/>
      <c r="BF130" s="26"/>
      <c r="BH130" s="26"/>
      <c r="BI130" s="26"/>
      <c r="BJ130" s="26"/>
      <c r="BK130" s="26"/>
    </row>
    <row r="131" spans="3:63" x14ac:dyDescent="0.2">
      <c r="C131" s="26"/>
      <c r="D131" s="26"/>
      <c r="E131" s="26"/>
      <c r="F131" s="26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V131" s="27"/>
      <c r="AW131" s="27"/>
      <c r="AX131" s="27"/>
      <c r="AY131" s="27"/>
      <c r="AZ131" s="27"/>
      <c r="BA131" s="27"/>
      <c r="BB131" s="26"/>
      <c r="BC131" s="27"/>
      <c r="BD131" s="26"/>
      <c r="BE131" s="27"/>
      <c r="BF131" s="26"/>
      <c r="BH131" s="26"/>
      <c r="BI131" s="26"/>
      <c r="BJ131" s="26"/>
      <c r="BK131" s="26"/>
    </row>
    <row r="132" spans="3:63" x14ac:dyDescent="0.2">
      <c r="C132" s="26"/>
      <c r="D132" s="26"/>
      <c r="E132" s="26"/>
      <c r="F132" s="26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V132" s="27"/>
      <c r="AW132" s="27"/>
      <c r="AX132" s="27"/>
      <c r="AY132" s="27"/>
      <c r="AZ132" s="27"/>
      <c r="BA132" s="27"/>
      <c r="BB132" s="26"/>
      <c r="BC132" s="27"/>
      <c r="BD132" s="26"/>
      <c r="BE132" s="27"/>
      <c r="BF132" s="26"/>
      <c r="BH132" s="26"/>
      <c r="BI132" s="26"/>
      <c r="BJ132" s="26"/>
      <c r="BK132" s="26"/>
    </row>
    <row r="133" spans="3:63" x14ac:dyDescent="0.2">
      <c r="C133" s="26"/>
      <c r="D133" s="26"/>
      <c r="E133" s="26"/>
      <c r="F133" s="26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V133" s="27"/>
      <c r="AW133" s="27"/>
      <c r="AX133" s="27"/>
      <c r="AY133" s="27"/>
      <c r="AZ133" s="27"/>
      <c r="BA133" s="27"/>
      <c r="BB133" s="26"/>
      <c r="BC133" s="27"/>
      <c r="BD133" s="26"/>
      <c r="BE133" s="27"/>
      <c r="BF133" s="26"/>
      <c r="BH133" s="26"/>
      <c r="BI133" s="26"/>
      <c r="BJ133" s="26"/>
      <c r="BK133" s="26"/>
    </row>
    <row r="134" spans="3:63" x14ac:dyDescent="0.2">
      <c r="C134" s="26"/>
      <c r="D134" s="26"/>
      <c r="E134" s="26"/>
      <c r="F134" s="26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V134" s="27"/>
      <c r="AW134" s="27"/>
      <c r="AX134" s="27"/>
      <c r="AY134" s="27"/>
      <c r="AZ134" s="27"/>
      <c r="BA134" s="27"/>
      <c r="BB134" s="26"/>
      <c r="BC134" s="27"/>
      <c r="BD134" s="26"/>
      <c r="BE134" s="27"/>
      <c r="BF134" s="26"/>
      <c r="BH134" s="26"/>
      <c r="BI134" s="26"/>
      <c r="BJ134" s="26"/>
      <c r="BK134" s="26"/>
    </row>
    <row r="135" spans="3:63" x14ac:dyDescent="0.2">
      <c r="C135" s="26"/>
      <c r="D135" s="26"/>
      <c r="E135" s="26"/>
      <c r="F135" s="26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V135" s="27"/>
      <c r="AW135" s="27"/>
      <c r="AX135" s="27"/>
      <c r="AY135" s="27"/>
      <c r="AZ135" s="27"/>
      <c r="BA135" s="27"/>
      <c r="BB135" s="26"/>
      <c r="BC135" s="27"/>
      <c r="BD135" s="26"/>
      <c r="BE135" s="27"/>
      <c r="BF135" s="26"/>
      <c r="BH135" s="26"/>
      <c r="BI135" s="26"/>
      <c r="BJ135" s="26"/>
      <c r="BK135" s="26"/>
    </row>
    <row r="136" spans="3:63" x14ac:dyDescent="0.2">
      <c r="C136" s="26"/>
      <c r="D136" s="26"/>
      <c r="E136" s="26"/>
      <c r="F136" s="26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V136" s="27"/>
      <c r="AW136" s="27"/>
      <c r="AX136" s="27"/>
      <c r="AY136" s="27"/>
      <c r="AZ136" s="27"/>
      <c r="BA136" s="27"/>
      <c r="BB136" s="26"/>
      <c r="BC136" s="27"/>
      <c r="BD136" s="26"/>
      <c r="BE136" s="27"/>
      <c r="BF136" s="26"/>
      <c r="BH136" s="26"/>
      <c r="BI136" s="26"/>
      <c r="BJ136" s="26"/>
      <c r="BK136" s="26"/>
    </row>
    <row r="137" spans="3:63" x14ac:dyDescent="0.2">
      <c r="C137" s="26"/>
      <c r="D137" s="26"/>
      <c r="E137" s="26"/>
      <c r="F137" s="26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V137" s="27"/>
      <c r="AW137" s="27"/>
      <c r="AX137" s="27"/>
      <c r="AY137" s="27"/>
      <c r="AZ137" s="27"/>
      <c r="BA137" s="27"/>
      <c r="BB137" s="26"/>
      <c r="BC137" s="27"/>
      <c r="BD137" s="26"/>
      <c r="BE137" s="27"/>
      <c r="BF137" s="26"/>
      <c r="BH137" s="26"/>
      <c r="BI137" s="26"/>
      <c r="BJ137" s="26"/>
      <c r="BK137" s="26"/>
    </row>
    <row r="138" spans="3:63" x14ac:dyDescent="0.2">
      <c r="C138" s="26"/>
      <c r="D138" s="26"/>
      <c r="E138" s="26"/>
      <c r="F138" s="26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V138" s="27"/>
      <c r="AW138" s="27"/>
      <c r="AX138" s="27"/>
      <c r="AY138" s="27"/>
      <c r="AZ138" s="27"/>
      <c r="BA138" s="27"/>
      <c r="BB138" s="26"/>
      <c r="BC138" s="27"/>
      <c r="BD138" s="26"/>
      <c r="BE138" s="27"/>
      <c r="BF138" s="26"/>
      <c r="BH138" s="26"/>
      <c r="BI138" s="26"/>
      <c r="BJ138" s="26"/>
      <c r="BK138" s="26"/>
    </row>
    <row r="139" spans="3:63" x14ac:dyDescent="0.2">
      <c r="C139" s="26"/>
      <c r="D139" s="26"/>
      <c r="E139" s="26"/>
      <c r="F139" s="26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V139" s="27"/>
      <c r="AW139" s="27"/>
      <c r="AX139" s="27"/>
      <c r="AY139" s="27"/>
      <c r="AZ139" s="27"/>
      <c r="BA139" s="27"/>
      <c r="BB139" s="26"/>
      <c r="BC139" s="27"/>
      <c r="BD139" s="26"/>
      <c r="BE139" s="27"/>
      <c r="BF139" s="26"/>
      <c r="BH139" s="26"/>
      <c r="BI139" s="26"/>
      <c r="BJ139" s="26"/>
      <c r="BK139" s="26"/>
    </row>
    <row r="140" spans="3:63" x14ac:dyDescent="0.2">
      <c r="C140" s="26"/>
      <c r="D140" s="26"/>
      <c r="E140" s="26"/>
      <c r="F140" s="26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V140" s="27"/>
      <c r="AW140" s="27"/>
      <c r="AX140" s="27"/>
      <c r="AY140" s="27"/>
      <c r="AZ140" s="27"/>
      <c r="BA140" s="27"/>
      <c r="BB140" s="26"/>
      <c r="BC140" s="27"/>
      <c r="BD140" s="26"/>
      <c r="BE140" s="27"/>
      <c r="BF140" s="26"/>
      <c r="BH140" s="26"/>
      <c r="BI140" s="26"/>
      <c r="BJ140" s="26"/>
      <c r="BK140" s="26"/>
    </row>
    <row r="141" spans="3:63" x14ac:dyDescent="0.2">
      <c r="C141" s="26"/>
      <c r="D141" s="26"/>
      <c r="E141" s="26"/>
      <c r="F141" s="26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V141" s="27"/>
      <c r="AW141" s="27"/>
      <c r="AX141" s="27"/>
      <c r="AY141" s="27"/>
      <c r="AZ141" s="27"/>
      <c r="BA141" s="27"/>
      <c r="BB141" s="26"/>
      <c r="BC141" s="27"/>
      <c r="BD141" s="26"/>
      <c r="BE141" s="27"/>
      <c r="BF141" s="26"/>
      <c r="BH141" s="26"/>
      <c r="BI141" s="26"/>
      <c r="BJ141" s="26"/>
      <c r="BK141" s="26"/>
    </row>
    <row r="142" spans="3:63" x14ac:dyDescent="0.2">
      <c r="C142" s="26"/>
      <c r="D142" s="26"/>
      <c r="E142" s="26"/>
      <c r="F142" s="26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V142" s="27"/>
      <c r="AW142" s="27"/>
      <c r="AX142" s="27"/>
      <c r="AY142" s="27"/>
      <c r="AZ142" s="27"/>
      <c r="BA142" s="27"/>
      <c r="BB142" s="26"/>
      <c r="BC142" s="27"/>
      <c r="BD142" s="26"/>
      <c r="BE142" s="27"/>
      <c r="BF142" s="26"/>
      <c r="BH142" s="26"/>
      <c r="BI142" s="26"/>
      <c r="BJ142" s="26"/>
      <c r="BK142" s="26"/>
    </row>
    <row r="143" spans="3:63" x14ac:dyDescent="0.2">
      <c r="C143" s="26"/>
      <c r="D143" s="26"/>
      <c r="E143" s="26"/>
      <c r="F143" s="26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V143" s="27"/>
      <c r="AW143" s="27"/>
      <c r="AX143" s="27"/>
      <c r="AY143" s="27"/>
      <c r="AZ143" s="27"/>
      <c r="BA143" s="27"/>
      <c r="BB143" s="26"/>
      <c r="BC143" s="27"/>
      <c r="BD143" s="26"/>
      <c r="BE143" s="27"/>
      <c r="BF143" s="26"/>
      <c r="BH143" s="26"/>
      <c r="BI143" s="26"/>
      <c r="BJ143" s="26"/>
      <c r="BK143" s="26"/>
    </row>
    <row r="144" spans="3:63" x14ac:dyDescent="0.2">
      <c r="C144" s="26"/>
      <c r="D144" s="26"/>
      <c r="E144" s="26"/>
      <c r="F144" s="26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V144" s="27"/>
      <c r="AW144" s="27"/>
      <c r="AX144" s="27"/>
      <c r="AY144" s="27"/>
      <c r="AZ144" s="27"/>
      <c r="BA144" s="27"/>
      <c r="BB144" s="26"/>
      <c r="BC144" s="27"/>
      <c r="BD144" s="26"/>
      <c r="BE144" s="27"/>
      <c r="BF144" s="26"/>
      <c r="BH144" s="26"/>
      <c r="BI144" s="26"/>
      <c r="BJ144" s="26"/>
      <c r="BK144" s="26"/>
    </row>
    <row r="145" spans="3:63" x14ac:dyDescent="0.2">
      <c r="C145" s="26"/>
      <c r="D145" s="26"/>
      <c r="E145" s="26"/>
      <c r="F145" s="26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V145" s="27"/>
      <c r="AW145" s="27"/>
      <c r="AX145" s="27"/>
      <c r="AY145" s="27"/>
      <c r="AZ145" s="27"/>
      <c r="BA145" s="27"/>
      <c r="BB145" s="26"/>
      <c r="BC145" s="27"/>
      <c r="BD145" s="26"/>
      <c r="BE145" s="27"/>
      <c r="BF145" s="26"/>
      <c r="BH145" s="26"/>
      <c r="BI145" s="26"/>
      <c r="BJ145" s="26"/>
      <c r="BK145" s="26"/>
    </row>
    <row r="146" spans="3:63" x14ac:dyDescent="0.2">
      <c r="C146" s="26"/>
      <c r="D146" s="26"/>
      <c r="E146" s="26"/>
      <c r="F146" s="26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V146" s="27"/>
      <c r="AW146" s="27"/>
      <c r="AX146" s="27"/>
      <c r="AY146" s="27"/>
      <c r="AZ146" s="27"/>
      <c r="BA146" s="27"/>
      <c r="BB146" s="26"/>
      <c r="BC146" s="27"/>
      <c r="BD146" s="26"/>
      <c r="BE146" s="27"/>
      <c r="BF146" s="26"/>
      <c r="BH146" s="26"/>
      <c r="BI146" s="26"/>
      <c r="BJ146" s="26"/>
      <c r="BK146" s="26"/>
    </row>
    <row r="147" spans="3:63" x14ac:dyDescent="0.2">
      <c r="C147" s="26"/>
      <c r="D147" s="26"/>
      <c r="E147" s="26"/>
      <c r="F147" s="26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V147" s="27"/>
      <c r="AW147" s="27"/>
      <c r="AX147" s="27"/>
      <c r="AY147" s="27"/>
      <c r="AZ147" s="27"/>
      <c r="BA147" s="27"/>
      <c r="BB147" s="26"/>
      <c r="BC147" s="27"/>
      <c r="BD147" s="26"/>
      <c r="BE147" s="27"/>
      <c r="BF147" s="26"/>
      <c r="BH147" s="26"/>
      <c r="BI147" s="26"/>
      <c r="BJ147" s="26"/>
      <c r="BK147" s="26"/>
    </row>
    <row r="148" spans="3:63" x14ac:dyDescent="0.2">
      <c r="C148" s="26"/>
      <c r="D148" s="26"/>
      <c r="E148" s="26"/>
      <c r="F148" s="26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V148" s="27"/>
      <c r="AW148" s="27"/>
      <c r="AX148" s="27"/>
      <c r="AY148" s="27"/>
      <c r="AZ148" s="27"/>
      <c r="BA148" s="27"/>
      <c r="BB148" s="26"/>
      <c r="BC148" s="27"/>
      <c r="BD148" s="26"/>
      <c r="BE148" s="27"/>
      <c r="BF148" s="26"/>
      <c r="BH148" s="26"/>
      <c r="BI148" s="26"/>
      <c r="BJ148" s="26"/>
      <c r="BK148" s="26"/>
    </row>
    <row r="149" spans="3:63" x14ac:dyDescent="0.2">
      <c r="C149" s="26"/>
      <c r="D149" s="26"/>
      <c r="E149" s="26"/>
      <c r="F149" s="26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V149" s="27"/>
      <c r="AW149" s="27"/>
      <c r="AX149" s="27"/>
      <c r="AY149" s="27"/>
      <c r="AZ149" s="27"/>
      <c r="BA149" s="27"/>
      <c r="BB149" s="26"/>
      <c r="BC149" s="27"/>
      <c r="BD149" s="26"/>
      <c r="BE149" s="27"/>
      <c r="BF149" s="26"/>
      <c r="BH149" s="26"/>
      <c r="BI149" s="26"/>
      <c r="BJ149" s="26"/>
      <c r="BK149" s="26"/>
    </row>
    <row r="150" spans="3:63" x14ac:dyDescent="0.2">
      <c r="C150" s="26"/>
      <c r="D150" s="26"/>
      <c r="E150" s="26"/>
      <c r="F150" s="26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V150" s="27"/>
      <c r="AW150" s="27"/>
      <c r="AX150" s="27"/>
      <c r="AY150" s="27"/>
      <c r="AZ150" s="27"/>
      <c r="BA150" s="27"/>
      <c r="BB150" s="26"/>
      <c r="BC150" s="27"/>
      <c r="BD150" s="26"/>
      <c r="BE150" s="27"/>
      <c r="BF150" s="26"/>
      <c r="BH150" s="26"/>
      <c r="BI150" s="26"/>
      <c r="BJ150" s="26"/>
      <c r="BK150" s="26"/>
    </row>
    <row r="151" spans="3:63" x14ac:dyDescent="0.2">
      <c r="C151" s="26"/>
      <c r="D151" s="26"/>
      <c r="E151" s="26"/>
      <c r="F151" s="26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V151" s="27"/>
      <c r="AW151" s="27"/>
      <c r="AX151" s="27"/>
      <c r="AY151" s="27"/>
      <c r="AZ151" s="27"/>
      <c r="BA151" s="27"/>
      <c r="BB151" s="26"/>
      <c r="BC151" s="27"/>
      <c r="BD151" s="26"/>
      <c r="BE151" s="27"/>
      <c r="BF151" s="26"/>
      <c r="BH151" s="26"/>
      <c r="BI151" s="26"/>
      <c r="BJ151" s="26"/>
      <c r="BK151" s="26"/>
    </row>
    <row r="152" spans="3:63" x14ac:dyDescent="0.2">
      <c r="C152" s="26"/>
      <c r="D152" s="26"/>
      <c r="E152" s="26"/>
      <c r="F152" s="26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V152" s="27"/>
      <c r="AW152" s="27"/>
      <c r="AX152" s="27"/>
      <c r="AY152" s="27"/>
      <c r="AZ152" s="27"/>
      <c r="BA152" s="27"/>
      <c r="BB152" s="26"/>
      <c r="BC152" s="27"/>
      <c r="BD152" s="26"/>
      <c r="BE152" s="27"/>
      <c r="BF152" s="26"/>
      <c r="BH152" s="26"/>
      <c r="BI152" s="26"/>
      <c r="BJ152" s="26"/>
      <c r="BK152" s="26"/>
    </row>
    <row r="153" spans="3:63" x14ac:dyDescent="0.2">
      <c r="C153" s="26"/>
      <c r="D153" s="26"/>
      <c r="E153" s="26"/>
      <c r="F153" s="26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V153" s="27"/>
      <c r="AW153" s="27"/>
      <c r="AX153" s="27"/>
      <c r="AY153" s="27"/>
      <c r="AZ153" s="27"/>
      <c r="BA153" s="27"/>
      <c r="BB153" s="26"/>
      <c r="BC153" s="27"/>
      <c r="BD153" s="26"/>
      <c r="BE153" s="27"/>
      <c r="BF153" s="26"/>
      <c r="BH153" s="26"/>
      <c r="BI153" s="26"/>
      <c r="BJ153" s="26"/>
      <c r="BK153" s="26"/>
    </row>
    <row r="154" spans="3:63" x14ac:dyDescent="0.2">
      <c r="C154" s="26"/>
      <c r="D154" s="26"/>
      <c r="E154" s="26"/>
      <c r="F154" s="26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V154" s="27"/>
      <c r="AW154" s="27"/>
      <c r="AX154" s="27"/>
      <c r="AY154" s="27"/>
      <c r="AZ154" s="27"/>
      <c r="BA154" s="27"/>
      <c r="BB154" s="26"/>
      <c r="BC154" s="27"/>
      <c r="BD154" s="26"/>
      <c r="BE154" s="27"/>
      <c r="BF154" s="26"/>
      <c r="BH154" s="26"/>
      <c r="BI154" s="26"/>
      <c r="BJ154" s="26"/>
      <c r="BK154" s="26"/>
    </row>
    <row r="155" spans="3:63" x14ac:dyDescent="0.2">
      <c r="C155" s="26"/>
      <c r="D155" s="26"/>
      <c r="E155" s="26"/>
      <c r="F155" s="26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V155" s="27"/>
      <c r="AW155" s="27"/>
      <c r="AX155" s="27"/>
      <c r="AY155" s="27"/>
      <c r="AZ155" s="27"/>
      <c r="BA155" s="27"/>
      <c r="BB155" s="26"/>
      <c r="BC155" s="27"/>
      <c r="BD155" s="26"/>
      <c r="BE155" s="27"/>
      <c r="BF155" s="26"/>
      <c r="BH155" s="26"/>
      <c r="BI155" s="26"/>
      <c r="BJ155" s="26"/>
      <c r="BK155" s="26"/>
    </row>
    <row r="156" spans="3:63" x14ac:dyDescent="0.2">
      <c r="C156" s="26"/>
      <c r="D156" s="26"/>
      <c r="E156" s="26"/>
      <c r="F156" s="26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V156" s="27"/>
      <c r="AW156" s="27"/>
      <c r="AX156" s="27"/>
      <c r="AY156" s="27"/>
      <c r="AZ156" s="27"/>
      <c r="BA156" s="27"/>
      <c r="BB156" s="26"/>
      <c r="BC156" s="27"/>
      <c r="BD156" s="26"/>
      <c r="BE156" s="27"/>
      <c r="BF156" s="26"/>
      <c r="BH156" s="26"/>
      <c r="BI156" s="26"/>
      <c r="BJ156" s="26"/>
      <c r="BK156" s="26"/>
    </row>
    <row r="157" spans="3:63" x14ac:dyDescent="0.2">
      <c r="C157" s="26"/>
      <c r="D157" s="26"/>
      <c r="E157" s="26"/>
      <c r="F157" s="26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V157" s="27"/>
      <c r="AW157" s="27"/>
      <c r="AX157" s="27"/>
      <c r="AY157" s="27"/>
      <c r="AZ157" s="27"/>
      <c r="BA157" s="27"/>
      <c r="BB157" s="26"/>
      <c r="BC157" s="27"/>
      <c r="BD157" s="26"/>
      <c r="BE157" s="27"/>
      <c r="BF157" s="26"/>
      <c r="BH157" s="26"/>
      <c r="BI157" s="26"/>
      <c r="BJ157" s="26"/>
      <c r="BK157" s="26"/>
    </row>
    <row r="158" spans="3:63" x14ac:dyDescent="0.2">
      <c r="C158" s="26"/>
      <c r="D158" s="26"/>
      <c r="E158" s="26"/>
      <c r="F158" s="26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V158" s="27"/>
      <c r="AW158" s="27"/>
      <c r="AX158" s="27"/>
      <c r="AY158" s="27"/>
      <c r="AZ158" s="27"/>
      <c r="BA158" s="27"/>
      <c r="BB158" s="26"/>
      <c r="BC158" s="27"/>
      <c r="BD158" s="26"/>
      <c r="BE158" s="27"/>
      <c r="BF158" s="26"/>
      <c r="BH158" s="26"/>
      <c r="BI158" s="26"/>
      <c r="BJ158" s="26"/>
      <c r="BK158" s="26"/>
    </row>
    <row r="159" spans="3:63" x14ac:dyDescent="0.2">
      <c r="C159" s="26"/>
      <c r="D159" s="26"/>
      <c r="E159" s="26"/>
      <c r="F159" s="26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V159" s="27"/>
      <c r="AW159" s="27"/>
      <c r="AX159" s="27"/>
      <c r="AY159" s="27"/>
      <c r="AZ159" s="27"/>
      <c r="BA159" s="27"/>
      <c r="BB159" s="26"/>
      <c r="BC159" s="27"/>
      <c r="BD159" s="26"/>
      <c r="BE159" s="27"/>
      <c r="BF159" s="26"/>
      <c r="BH159" s="26"/>
      <c r="BI159" s="26"/>
      <c r="BJ159" s="26"/>
      <c r="BK159" s="26"/>
    </row>
    <row r="160" spans="3:63" x14ac:dyDescent="0.2">
      <c r="C160" s="26"/>
      <c r="D160" s="26"/>
      <c r="E160" s="26"/>
      <c r="F160" s="26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V160" s="27"/>
      <c r="AW160" s="27"/>
      <c r="AX160" s="27"/>
      <c r="AY160" s="27"/>
      <c r="AZ160" s="27"/>
      <c r="BA160" s="27"/>
      <c r="BB160" s="26"/>
      <c r="BC160" s="27"/>
      <c r="BD160" s="26"/>
      <c r="BE160" s="27"/>
      <c r="BF160" s="26"/>
      <c r="BH160" s="26"/>
      <c r="BI160" s="26"/>
      <c r="BJ160" s="26"/>
      <c r="BK160" s="26"/>
    </row>
    <row r="161" spans="3:63" x14ac:dyDescent="0.2">
      <c r="C161" s="26"/>
      <c r="D161" s="26"/>
      <c r="E161" s="26"/>
      <c r="F161" s="26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V161" s="27"/>
      <c r="AW161" s="27"/>
      <c r="AX161" s="27"/>
      <c r="AY161" s="27"/>
      <c r="AZ161" s="27"/>
      <c r="BA161" s="27"/>
      <c r="BB161" s="26"/>
      <c r="BC161" s="27"/>
      <c r="BD161" s="26"/>
      <c r="BE161" s="27"/>
      <c r="BF161" s="26"/>
      <c r="BH161" s="26"/>
      <c r="BI161" s="26"/>
      <c r="BJ161" s="26"/>
      <c r="BK161" s="26"/>
    </row>
    <row r="162" spans="3:63" x14ac:dyDescent="0.2">
      <c r="C162" s="26"/>
      <c r="D162" s="26"/>
      <c r="E162" s="26"/>
      <c r="F162" s="26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V162" s="27"/>
      <c r="AW162" s="27"/>
      <c r="AX162" s="27"/>
      <c r="AY162" s="27"/>
      <c r="AZ162" s="27"/>
      <c r="BA162" s="27"/>
      <c r="BB162" s="26"/>
      <c r="BC162" s="27"/>
      <c r="BD162" s="26"/>
      <c r="BE162" s="27"/>
      <c r="BF162" s="26"/>
      <c r="BH162" s="26"/>
      <c r="BI162" s="26"/>
      <c r="BJ162" s="26"/>
      <c r="BK162" s="26"/>
    </row>
    <row r="163" spans="3:63" x14ac:dyDescent="0.2">
      <c r="C163" s="26"/>
      <c r="D163" s="26"/>
      <c r="E163" s="26"/>
      <c r="F163" s="26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V163" s="27"/>
      <c r="AW163" s="27"/>
      <c r="AX163" s="27"/>
      <c r="AY163" s="27"/>
      <c r="AZ163" s="27"/>
      <c r="BA163" s="27"/>
      <c r="BB163" s="26"/>
      <c r="BC163" s="27"/>
      <c r="BD163" s="26"/>
      <c r="BE163" s="27"/>
      <c r="BF163" s="26"/>
      <c r="BH163" s="26"/>
      <c r="BI163" s="26"/>
      <c r="BJ163" s="26"/>
      <c r="BK163" s="26"/>
    </row>
    <row r="164" spans="3:63" x14ac:dyDescent="0.2">
      <c r="C164" s="26"/>
      <c r="D164" s="26"/>
      <c r="E164" s="26"/>
      <c r="F164" s="26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V164" s="27"/>
      <c r="AW164" s="27"/>
      <c r="AX164" s="27"/>
      <c r="AY164" s="27"/>
      <c r="AZ164" s="27"/>
      <c r="BA164" s="27"/>
      <c r="BB164" s="26"/>
      <c r="BC164" s="27"/>
      <c r="BD164" s="26"/>
      <c r="BE164" s="27"/>
      <c r="BF164" s="26"/>
      <c r="BH164" s="26"/>
      <c r="BI164" s="26"/>
      <c r="BJ164" s="26"/>
      <c r="BK164" s="26"/>
    </row>
    <row r="165" spans="3:63" x14ac:dyDescent="0.2">
      <c r="C165" s="26"/>
      <c r="D165" s="26"/>
      <c r="E165" s="26"/>
      <c r="F165" s="26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V165" s="27"/>
      <c r="AW165" s="27"/>
      <c r="AX165" s="27"/>
      <c r="AY165" s="27"/>
      <c r="AZ165" s="27"/>
      <c r="BA165" s="27"/>
      <c r="BB165" s="26"/>
      <c r="BC165" s="27"/>
      <c r="BD165" s="26"/>
      <c r="BE165" s="27"/>
      <c r="BF165" s="26"/>
      <c r="BH165" s="26"/>
      <c r="BI165" s="26"/>
      <c r="BJ165" s="26"/>
      <c r="BK165" s="26"/>
    </row>
    <row r="166" spans="3:63" x14ac:dyDescent="0.2">
      <c r="C166" s="26"/>
      <c r="D166" s="26"/>
      <c r="E166" s="26"/>
      <c r="F166" s="26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V166" s="27"/>
      <c r="AW166" s="27"/>
      <c r="AX166" s="27"/>
      <c r="AY166" s="27"/>
      <c r="AZ166" s="27"/>
      <c r="BA166" s="27"/>
      <c r="BB166" s="26"/>
      <c r="BC166" s="27"/>
      <c r="BD166" s="26"/>
      <c r="BE166" s="27"/>
      <c r="BF166" s="26"/>
      <c r="BH166" s="26"/>
      <c r="BI166" s="26"/>
      <c r="BJ166" s="26"/>
      <c r="BK166" s="26"/>
    </row>
    <row r="167" spans="3:63" x14ac:dyDescent="0.2">
      <c r="C167" s="26"/>
      <c r="D167" s="26"/>
      <c r="E167" s="26"/>
      <c r="F167" s="26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V167" s="27"/>
      <c r="AW167" s="27"/>
      <c r="AX167" s="27"/>
      <c r="AY167" s="27"/>
      <c r="AZ167" s="27"/>
      <c r="BA167" s="27"/>
      <c r="BB167" s="26"/>
      <c r="BC167" s="27"/>
      <c r="BD167" s="26"/>
      <c r="BE167" s="27"/>
      <c r="BF167" s="26"/>
      <c r="BH167" s="26"/>
      <c r="BI167" s="26"/>
      <c r="BJ167" s="26"/>
      <c r="BK167" s="26"/>
    </row>
    <row r="168" spans="3:63" x14ac:dyDescent="0.2">
      <c r="C168" s="26"/>
      <c r="D168" s="26"/>
      <c r="E168" s="26"/>
      <c r="F168" s="26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V168" s="27"/>
      <c r="AW168" s="27"/>
      <c r="AX168" s="27"/>
      <c r="AY168" s="27"/>
      <c r="AZ168" s="27"/>
      <c r="BA168" s="27"/>
      <c r="BB168" s="26"/>
      <c r="BC168" s="27"/>
      <c r="BD168" s="26"/>
      <c r="BE168" s="27"/>
      <c r="BF168" s="26"/>
      <c r="BH168" s="26"/>
      <c r="BI168" s="26"/>
      <c r="BJ168" s="26"/>
      <c r="BK168" s="26"/>
    </row>
    <row r="169" spans="3:63" x14ac:dyDescent="0.2">
      <c r="C169" s="26"/>
      <c r="D169" s="26"/>
      <c r="E169" s="26"/>
      <c r="F169" s="26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V169" s="27"/>
      <c r="AW169" s="27"/>
      <c r="AX169" s="27"/>
      <c r="AY169" s="27"/>
      <c r="AZ169" s="27"/>
      <c r="BA169" s="27"/>
      <c r="BB169" s="26"/>
      <c r="BC169" s="27"/>
      <c r="BD169" s="26"/>
      <c r="BE169" s="27"/>
      <c r="BF169" s="26"/>
      <c r="BH169" s="26"/>
      <c r="BI169" s="26"/>
      <c r="BJ169" s="26"/>
      <c r="BK169" s="26"/>
    </row>
    <row r="170" spans="3:63" x14ac:dyDescent="0.2">
      <c r="C170" s="26"/>
      <c r="D170" s="26"/>
      <c r="E170" s="26"/>
      <c r="F170" s="26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V170" s="27"/>
      <c r="AW170" s="27"/>
      <c r="AX170" s="27"/>
      <c r="AY170" s="27"/>
      <c r="AZ170" s="27"/>
      <c r="BA170" s="27"/>
      <c r="BB170" s="26"/>
      <c r="BC170" s="27"/>
      <c r="BD170" s="26"/>
      <c r="BE170" s="27"/>
      <c r="BF170" s="26"/>
      <c r="BH170" s="26"/>
      <c r="BI170" s="26"/>
      <c r="BJ170" s="26"/>
      <c r="BK170" s="26"/>
    </row>
    <row r="171" spans="3:63" x14ac:dyDescent="0.2">
      <c r="C171" s="26"/>
      <c r="D171" s="26"/>
      <c r="E171" s="26"/>
      <c r="F171" s="26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V171" s="27"/>
      <c r="AW171" s="27"/>
      <c r="AX171" s="27"/>
      <c r="AY171" s="27"/>
      <c r="AZ171" s="27"/>
      <c r="BA171" s="27"/>
      <c r="BB171" s="26"/>
      <c r="BC171" s="27"/>
      <c r="BD171" s="26"/>
      <c r="BE171" s="27"/>
      <c r="BF171" s="26"/>
      <c r="BH171" s="26"/>
      <c r="BI171" s="26"/>
      <c r="BJ171" s="26"/>
      <c r="BK171" s="26"/>
    </row>
    <row r="172" spans="3:63" x14ac:dyDescent="0.2">
      <c r="C172" s="26"/>
      <c r="D172" s="26"/>
      <c r="E172" s="26"/>
      <c r="F172" s="26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V172" s="27"/>
      <c r="AW172" s="27"/>
      <c r="AX172" s="27"/>
      <c r="AY172" s="27"/>
      <c r="AZ172" s="27"/>
      <c r="BA172" s="27"/>
      <c r="BB172" s="26"/>
      <c r="BC172" s="27"/>
      <c r="BD172" s="26"/>
      <c r="BE172" s="27"/>
      <c r="BF172" s="26"/>
      <c r="BH172" s="26"/>
      <c r="BI172" s="26"/>
      <c r="BJ172" s="26"/>
      <c r="BK172" s="26"/>
    </row>
    <row r="173" spans="3:63" x14ac:dyDescent="0.2">
      <c r="C173" s="26"/>
      <c r="D173" s="26"/>
      <c r="E173" s="26"/>
      <c r="F173" s="26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V173" s="27"/>
      <c r="AW173" s="27"/>
      <c r="AX173" s="27"/>
      <c r="AY173" s="27"/>
      <c r="AZ173" s="27"/>
      <c r="BA173" s="27"/>
      <c r="BB173" s="26"/>
      <c r="BC173" s="27"/>
      <c r="BD173" s="26"/>
      <c r="BE173" s="27"/>
      <c r="BF173" s="26"/>
      <c r="BH173" s="26"/>
      <c r="BI173" s="26"/>
      <c r="BJ173" s="26"/>
      <c r="BK173" s="26"/>
    </row>
    <row r="174" spans="3:63" x14ac:dyDescent="0.2">
      <c r="C174" s="26"/>
      <c r="D174" s="26"/>
      <c r="E174" s="26"/>
      <c r="F174" s="26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V174" s="27"/>
      <c r="AW174" s="27"/>
      <c r="AX174" s="27"/>
      <c r="AY174" s="27"/>
      <c r="AZ174" s="27"/>
      <c r="BA174" s="27"/>
      <c r="BB174" s="26"/>
      <c r="BC174" s="27"/>
      <c r="BD174" s="26"/>
      <c r="BE174" s="27"/>
      <c r="BF174" s="26"/>
      <c r="BH174" s="26"/>
      <c r="BI174" s="26"/>
      <c r="BJ174" s="26"/>
      <c r="BK174" s="26"/>
    </row>
    <row r="175" spans="3:63" x14ac:dyDescent="0.2">
      <c r="C175" s="26"/>
      <c r="D175" s="26"/>
      <c r="E175" s="26"/>
      <c r="F175" s="26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V175" s="27"/>
      <c r="AW175" s="27"/>
      <c r="AX175" s="27"/>
      <c r="AY175" s="27"/>
      <c r="AZ175" s="27"/>
      <c r="BA175" s="27"/>
      <c r="BB175" s="26"/>
      <c r="BC175" s="27"/>
      <c r="BD175" s="26"/>
      <c r="BE175" s="27"/>
      <c r="BF175" s="26"/>
      <c r="BH175" s="26"/>
      <c r="BI175" s="26"/>
      <c r="BJ175" s="26"/>
      <c r="BK175" s="26"/>
    </row>
    <row r="176" spans="3:63" x14ac:dyDescent="0.2">
      <c r="C176" s="26"/>
      <c r="D176" s="26"/>
      <c r="E176" s="26"/>
      <c r="F176" s="26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  <c r="AS176" s="27"/>
      <c r="AT176" s="27"/>
      <c r="AV176" s="27"/>
      <c r="AW176" s="27"/>
      <c r="AX176" s="27"/>
      <c r="AY176" s="27"/>
      <c r="AZ176" s="27"/>
      <c r="BA176" s="27"/>
      <c r="BB176" s="26"/>
      <c r="BC176" s="27"/>
      <c r="BD176" s="26"/>
      <c r="BE176" s="27"/>
      <c r="BF176" s="26"/>
      <c r="BH176" s="26"/>
      <c r="BI176" s="26"/>
      <c r="BJ176" s="26"/>
      <c r="BK176" s="26"/>
    </row>
    <row r="177" spans="3:63" x14ac:dyDescent="0.2">
      <c r="C177" s="26"/>
      <c r="D177" s="26"/>
      <c r="E177" s="26"/>
      <c r="F177" s="26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V177" s="27"/>
      <c r="AW177" s="27"/>
      <c r="AX177" s="27"/>
      <c r="AY177" s="27"/>
      <c r="AZ177" s="27"/>
      <c r="BA177" s="27"/>
      <c r="BB177" s="26"/>
      <c r="BC177" s="27"/>
      <c r="BD177" s="26"/>
      <c r="BE177" s="27"/>
      <c r="BF177" s="26"/>
      <c r="BH177" s="26"/>
      <c r="BI177" s="26"/>
      <c r="BJ177" s="26"/>
      <c r="BK177" s="26"/>
    </row>
    <row r="178" spans="3:63" x14ac:dyDescent="0.2">
      <c r="C178" s="26"/>
      <c r="D178" s="26"/>
      <c r="E178" s="26"/>
      <c r="F178" s="26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V178" s="27"/>
      <c r="AW178" s="27"/>
      <c r="AX178" s="27"/>
      <c r="AY178" s="27"/>
      <c r="AZ178" s="27"/>
      <c r="BA178" s="27"/>
      <c r="BB178" s="26"/>
      <c r="BC178" s="27"/>
      <c r="BD178" s="26"/>
      <c r="BE178" s="27"/>
      <c r="BF178" s="26"/>
      <c r="BH178" s="26"/>
      <c r="BI178" s="26"/>
      <c r="BJ178" s="26"/>
      <c r="BK178" s="26"/>
    </row>
    <row r="179" spans="3:63" x14ac:dyDescent="0.2">
      <c r="C179" s="26"/>
      <c r="D179" s="26"/>
      <c r="E179" s="26"/>
      <c r="F179" s="26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V179" s="27"/>
      <c r="AW179" s="27"/>
      <c r="AX179" s="27"/>
      <c r="AY179" s="27"/>
      <c r="AZ179" s="27"/>
      <c r="BA179" s="27"/>
      <c r="BB179" s="26"/>
      <c r="BC179" s="27"/>
      <c r="BD179" s="26"/>
      <c r="BE179" s="27"/>
      <c r="BF179" s="26"/>
      <c r="BH179" s="26"/>
      <c r="BI179" s="26"/>
      <c r="BJ179" s="26"/>
      <c r="BK179" s="26"/>
    </row>
    <row r="180" spans="3:63" x14ac:dyDescent="0.2">
      <c r="C180" s="26"/>
      <c r="D180" s="26"/>
      <c r="E180" s="26"/>
      <c r="F180" s="26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V180" s="27"/>
      <c r="AW180" s="27"/>
      <c r="AX180" s="27"/>
      <c r="AY180" s="27"/>
      <c r="AZ180" s="27"/>
      <c r="BA180" s="27"/>
      <c r="BB180" s="26"/>
      <c r="BC180" s="27"/>
      <c r="BD180" s="26"/>
      <c r="BE180" s="27"/>
      <c r="BF180" s="26"/>
      <c r="BH180" s="26"/>
      <c r="BI180" s="26"/>
      <c r="BJ180" s="26"/>
      <c r="BK180" s="26"/>
    </row>
    <row r="181" spans="3:63" x14ac:dyDescent="0.2">
      <c r="C181" s="26"/>
      <c r="D181" s="26"/>
      <c r="E181" s="26"/>
      <c r="F181" s="26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V181" s="27"/>
      <c r="AW181" s="27"/>
      <c r="AX181" s="27"/>
      <c r="AY181" s="27"/>
      <c r="AZ181" s="27"/>
      <c r="BA181" s="27"/>
      <c r="BB181" s="26"/>
      <c r="BC181" s="27"/>
      <c r="BD181" s="26"/>
      <c r="BE181" s="27"/>
      <c r="BF181" s="26"/>
      <c r="BH181" s="26"/>
      <c r="BI181" s="26"/>
      <c r="BJ181" s="26"/>
      <c r="BK181" s="26"/>
    </row>
    <row r="182" spans="3:63" x14ac:dyDescent="0.2">
      <c r="C182" s="26"/>
      <c r="D182" s="26"/>
      <c r="E182" s="26"/>
      <c r="F182" s="26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V182" s="27"/>
      <c r="AW182" s="27"/>
      <c r="AX182" s="27"/>
      <c r="AY182" s="27"/>
      <c r="AZ182" s="27"/>
      <c r="BA182" s="27"/>
      <c r="BB182" s="26"/>
      <c r="BC182" s="27"/>
      <c r="BD182" s="26"/>
      <c r="BE182" s="27"/>
      <c r="BF182" s="26"/>
      <c r="BH182" s="26"/>
      <c r="BI182" s="26"/>
      <c r="BJ182" s="26"/>
      <c r="BK182" s="26"/>
    </row>
    <row r="183" spans="3:63" x14ac:dyDescent="0.2">
      <c r="C183" s="26"/>
      <c r="D183" s="26"/>
      <c r="E183" s="26"/>
      <c r="F183" s="26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V183" s="27"/>
      <c r="AW183" s="27"/>
      <c r="AX183" s="27"/>
      <c r="AY183" s="27"/>
      <c r="AZ183" s="27"/>
      <c r="BA183" s="27"/>
      <c r="BB183" s="26"/>
      <c r="BC183" s="27"/>
      <c r="BD183" s="26"/>
      <c r="BE183" s="27"/>
      <c r="BF183" s="26"/>
      <c r="BH183" s="26"/>
      <c r="BI183" s="26"/>
      <c r="BJ183" s="26"/>
      <c r="BK183" s="26"/>
    </row>
    <row r="184" spans="3:63" x14ac:dyDescent="0.2">
      <c r="C184" s="26"/>
      <c r="D184" s="26"/>
      <c r="E184" s="26"/>
      <c r="F184" s="26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V184" s="27"/>
      <c r="AW184" s="27"/>
      <c r="AX184" s="27"/>
      <c r="AY184" s="27"/>
      <c r="AZ184" s="27"/>
      <c r="BA184" s="27"/>
      <c r="BB184" s="26"/>
      <c r="BC184" s="27"/>
      <c r="BD184" s="26"/>
      <c r="BE184" s="27"/>
      <c r="BF184" s="26"/>
      <c r="BH184" s="26"/>
      <c r="BI184" s="26"/>
      <c r="BJ184" s="26"/>
      <c r="BK184" s="26"/>
    </row>
    <row r="185" spans="3:63" x14ac:dyDescent="0.2">
      <c r="C185" s="26"/>
      <c r="D185" s="26"/>
      <c r="E185" s="26"/>
      <c r="F185" s="26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V185" s="27"/>
      <c r="AW185" s="27"/>
      <c r="AX185" s="27"/>
      <c r="AY185" s="27"/>
      <c r="AZ185" s="27"/>
      <c r="BA185" s="27"/>
      <c r="BB185" s="26"/>
      <c r="BC185" s="27"/>
      <c r="BD185" s="26"/>
      <c r="BE185" s="27"/>
      <c r="BF185" s="26"/>
      <c r="BH185" s="26"/>
      <c r="BI185" s="26"/>
      <c r="BJ185" s="26"/>
      <c r="BK185" s="26"/>
    </row>
    <row r="186" spans="3:63" x14ac:dyDescent="0.2">
      <c r="C186" s="26"/>
      <c r="D186" s="26"/>
      <c r="E186" s="26"/>
      <c r="F186" s="26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V186" s="27"/>
      <c r="AW186" s="27"/>
      <c r="AX186" s="27"/>
      <c r="AY186" s="27"/>
      <c r="AZ186" s="27"/>
      <c r="BA186" s="27"/>
      <c r="BB186" s="26"/>
      <c r="BC186" s="27"/>
      <c r="BD186" s="26"/>
      <c r="BE186" s="27"/>
      <c r="BF186" s="26"/>
      <c r="BH186" s="26"/>
      <c r="BI186" s="26"/>
      <c r="BJ186" s="26"/>
      <c r="BK186" s="26"/>
    </row>
    <row r="187" spans="3:63" x14ac:dyDescent="0.2">
      <c r="C187" s="26"/>
      <c r="D187" s="26"/>
      <c r="E187" s="26"/>
      <c r="F187" s="26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V187" s="27"/>
      <c r="AW187" s="27"/>
      <c r="AX187" s="27"/>
      <c r="AY187" s="27"/>
      <c r="AZ187" s="27"/>
      <c r="BA187" s="27"/>
      <c r="BB187" s="26"/>
      <c r="BC187" s="27"/>
      <c r="BD187" s="26"/>
      <c r="BE187" s="27"/>
      <c r="BF187" s="26"/>
      <c r="BH187" s="26"/>
      <c r="BI187" s="26"/>
      <c r="BJ187" s="26"/>
      <c r="BK187" s="26"/>
    </row>
    <row r="188" spans="3:63" x14ac:dyDescent="0.2">
      <c r="C188" s="26"/>
      <c r="D188" s="26"/>
      <c r="E188" s="26"/>
      <c r="F188" s="26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V188" s="27"/>
      <c r="AW188" s="27"/>
      <c r="AX188" s="27"/>
      <c r="AY188" s="27"/>
      <c r="AZ188" s="27"/>
      <c r="BA188" s="27"/>
      <c r="BB188" s="26"/>
      <c r="BC188" s="27"/>
      <c r="BD188" s="26"/>
      <c r="BE188" s="27"/>
      <c r="BF188" s="26"/>
      <c r="BH188" s="26"/>
      <c r="BI188" s="26"/>
      <c r="BJ188" s="26"/>
      <c r="BK188" s="26"/>
    </row>
    <row r="189" spans="3:63" x14ac:dyDescent="0.2">
      <c r="C189" s="26"/>
      <c r="D189" s="26"/>
      <c r="E189" s="26"/>
      <c r="F189" s="26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V189" s="27"/>
      <c r="AW189" s="27"/>
      <c r="AX189" s="27"/>
      <c r="AY189" s="27"/>
      <c r="AZ189" s="27"/>
      <c r="BA189" s="27"/>
      <c r="BB189" s="26"/>
      <c r="BC189" s="27"/>
      <c r="BD189" s="26"/>
      <c r="BE189" s="27"/>
      <c r="BF189" s="26"/>
      <c r="BH189" s="26"/>
      <c r="BI189" s="26"/>
      <c r="BJ189" s="26"/>
      <c r="BK189" s="26"/>
    </row>
    <row r="190" spans="3:63" x14ac:dyDescent="0.2">
      <c r="C190" s="26"/>
      <c r="D190" s="26"/>
      <c r="E190" s="26"/>
      <c r="F190" s="26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V190" s="27"/>
      <c r="AW190" s="27"/>
      <c r="AX190" s="27"/>
      <c r="AY190" s="27"/>
      <c r="AZ190" s="27"/>
      <c r="BA190" s="27"/>
      <c r="BB190" s="26"/>
      <c r="BC190" s="27"/>
      <c r="BD190" s="26"/>
      <c r="BE190" s="27"/>
      <c r="BF190" s="26"/>
      <c r="BH190" s="26"/>
      <c r="BI190" s="26"/>
      <c r="BJ190" s="26"/>
      <c r="BK190" s="26"/>
    </row>
    <row r="191" spans="3:63" x14ac:dyDescent="0.2">
      <c r="C191" s="26"/>
      <c r="D191" s="26"/>
      <c r="E191" s="26"/>
      <c r="F191" s="26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V191" s="27"/>
      <c r="AW191" s="27"/>
      <c r="AX191" s="27"/>
      <c r="AY191" s="27"/>
      <c r="AZ191" s="27"/>
      <c r="BA191" s="27"/>
      <c r="BB191" s="26"/>
      <c r="BC191" s="27"/>
      <c r="BD191" s="26"/>
      <c r="BE191" s="27"/>
      <c r="BF191" s="26"/>
      <c r="BH191" s="26"/>
      <c r="BI191" s="26"/>
      <c r="BJ191" s="26"/>
      <c r="BK191" s="26"/>
    </row>
    <row r="192" spans="3:63" x14ac:dyDescent="0.2">
      <c r="C192" s="26"/>
      <c r="D192" s="26"/>
      <c r="E192" s="26"/>
      <c r="F192" s="26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V192" s="27"/>
      <c r="AW192" s="27"/>
      <c r="AX192" s="27"/>
      <c r="AY192" s="27"/>
      <c r="AZ192" s="27"/>
      <c r="BA192" s="27"/>
      <c r="BB192" s="26"/>
      <c r="BC192" s="27"/>
      <c r="BD192" s="26"/>
      <c r="BE192" s="27"/>
      <c r="BF192" s="26"/>
      <c r="BH192" s="26"/>
      <c r="BI192" s="26"/>
      <c r="BJ192" s="26"/>
      <c r="BK192" s="26"/>
    </row>
    <row r="193" spans="3:63" x14ac:dyDescent="0.2">
      <c r="C193" s="26"/>
      <c r="D193" s="26"/>
      <c r="E193" s="26"/>
      <c r="F193" s="26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V193" s="27"/>
      <c r="AW193" s="27"/>
      <c r="AX193" s="27"/>
      <c r="AY193" s="27"/>
      <c r="AZ193" s="27"/>
      <c r="BA193" s="27"/>
      <c r="BB193" s="26"/>
      <c r="BC193" s="27"/>
      <c r="BD193" s="26"/>
      <c r="BE193" s="27"/>
      <c r="BF193" s="26"/>
      <c r="BH193" s="26"/>
      <c r="BI193" s="26"/>
      <c r="BJ193" s="26"/>
      <c r="BK193" s="26"/>
    </row>
    <row r="194" spans="3:63" x14ac:dyDescent="0.2">
      <c r="C194" s="26"/>
      <c r="D194" s="26"/>
      <c r="E194" s="26"/>
      <c r="F194" s="26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V194" s="27"/>
      <c r="AW194" s="27"/>
      <c r="AX194" s="27"/>
      <c r="AY194" s="27"/>
      <c r="AZ194" s="27"/>
      <c r="BA194" s="27"/>
      <c r="BB194" s="26"/>
      <c r="BC194" s="27"/>
      <c r="BD194" s="26"/>
      <c r="BE194" s="27"/>
      <c r="BF194" s="26"/>
      <c r="BH194" s="26"/>
      <c r="BI194" s="26"/>
      <c r="BJ194" s="26"/>
      <c r="BK194" s="26"/>
    </row>
    <row r="195" spans="3:63" x14ac:dyDescent="0.2">
      <c r="C195" s="26"/>
      <c r="D195" s="26"/>
      <c r="E195" s="26"/>
      <c r="F195" s="26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V195" s="27"/>
      <c r="AW195" s="27"/>
      <c r="AX195" s="27"/>
      <c r="AY195" s="27"/>
      <c r="AZ195" s="27"/>
      <c r="BA195" s="27"/>
      <c r="BB195" s="26"/>
      <c r="BC195" s="27"/>
      <c r="BD195" s="26"/>
      <c r="BE195" s="27"/>
      <c r="BF195" s="26"/>
      <c r="BH195" s="26"/>
      <c r="BI195" s="26"/>
      <c r="BJ195" s="26"/>
      <c r="BK195" s="26"/>
    </row>
    <row r="196" spans="3:63" x14ac:dyDescent="0.2">
      <c r="C196" s="26"/>
      <c r="D196" s="26"/>
      <c r="E196" s="26"/>
      <c r="F196" s="26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V196" s="27"/>
      <c r="AW196" s="27"/>
      <c r="AX196" s="27"/>
      <c r="AY196" s="27"/>
      <c r="AZ196" s="27"/>
      <c r="BA196" s="27"/>
      <c r="BB196" s="26"/>
      <c r="BC196" s="27"/>
      <c r="BD196" s="26"/>
      <c r="BE196" s="27"/>
      <c r="BF196" s="26"/>
      <c r="BH196" s="26"/>
      <c r="BI196" s="26"/>
      <c r="BJ196" s="26"/>
      <c r="BK196" s="26"/>
    </row>
    <row r="197" spans="3:63" x14ac:dyDescent="0.2">
      <c r="C197" s="26"/>
      <c r="D197" s="26"/>
      <c r="E197" s="26"/>
      <c r="F197" s="26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V197" s="27"/>
      <c r="AW197" s="27"/>
      <c r="AX197" s="27"/>
      <c r="AY197" s="27"/>
      <c r="AZ197" s="27"/>
      <c r="BA197" s="27"/>
      <c r="BB197" s="26"/>
      <c r="BC197" s="27"/>
      <c r="BD197" s="26"/>
      <c r="BE197" s="27"/>
      <c r="BF197" s="26"/>
      <c r="BH197" s="26"/>
      <c r="BI197" s="26"/>
      <c r="BJ197" s="26"/>
      <c r="BK197" s="26"/>
    </row>
    <row r="198" spans="3:63" x14ac:dyDescent="0.2">
      <c r="C198" s="26"/>
      <c r="D198" s="26"/>
      <c r="E198" s="26"/>
      <c r="F198" s="26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V198" s="27"/>
      <c r="AW198" s="27"/>
      <c r="AX198" s="27"/>
      <c r="AY198" s="27"/>
      <c r="AZ198" s="27"/>
      <c r="BA198" s="27"/>
      <c r="BB198" s="26"/>
      <c r="BC198" s="27"/>
      <c r="BD198" s="26"/>
      <c r="BE198" s="27"/>
      <c r="BF198" s="26"/>
      <c r="BH198" s="26"/>
      <c r="BI198" s="26"/>
      <c r="BJ198" s="26"/>
      <c r="BK198" s="26"/>
    </row>
    <row r="199" spans="3:63" x14ac:dyDescent="0.2">
      <c r="C199" s="26"/>
      <c r="D199" s="26"/>
      <c r="E199" s="26"/>
      <c r="F199" s="26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V199" s="27"/>
      <c r="AW199" s="27"/>
      <c r="AX199" s="27"/>
      <c r="AY199" s="27"/>
      <c r="AZ199" s="27"/>
      <c r="BA199" s="27"/>
      <c r="BB199" s="26"/>
      <c r="BC199" s="27"/>
      <c r="BD199" s="26"/>
      <c r="BE199" s="27"/>
      <c r="BF199" s="26"/>
      <c r="BH199" s="26"/>
      <c r="BI199" s="26"/>
      <c r="BJ199" s="26"/>
      <c r="BK199" s="26"/>
    </row>
    <row r="200" spans="3:63" x14ac:dyDescent="0.2">
      <c r="C200" s="26"/>
      <c r="D200" s="26"/>
      <c r="E200" s="26"/>
      <c r="F200" s="26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V200" s="27"/>
      <c r="AW200" s="27"/>
      <c r="AX200" s="27"/>
      <c r="AY200" s="27"/>
      <c r="AZ200" s="27"/>
      <c r="BA200" s="27"/>
      <c r="BB200" s="26"/>
      <c r="BC200" s="27"/>
      <c r="BD200" s="26"/>
      <c r="BE200" s="27"/>
      <c r="BF200" s="26"/>
      <c r="BH200" s="26"/>
      <c r="BI200" s="26"/>
      <c r="BJ200" s="26"/>
      <c r="BK200" s="26"/>
    </row>
    <row r="201" spans="3:63" x14ac:dyDescent="0.2">
      <c r="C201" s="26"/>
      <c r="D201" s="26"/>
      <c r="E201" s="26"/>
      <c r="F201" s="26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V201" s="27"/>
      <c r="AW201" s="27"/>
      <c r="AX201" s="27"/>
      <c r="AY201" s="27"/>
      <c r="AZ201" s="27"/>
      <c r="BA201" s="27"/>
      <c r="BB201" s="26"/>
      <c r="BC201" s="27"/>
      <c r="BD201" s="26"/>
      <c r="BE201" s="27"/>
      <c r="BF201" s="26"/>
      <c r="BH201" s="26"/>
      <c r="BI201" s="26"/>
      <c r="BJ201" s="26"/>
      <c r="BK201" s="26"/>
    </row>
    <row r="202" spans="3:63" x14ac:dyDescent="0.2">
      <c r="C202" s="26"/>
      <c r="D202" s="26"/>
      <c r="E202" s="26"/>
      <c r="F202" s="26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V202" s="27"/>
      <c r="AW202" s="27"/>
      <c r="AX202" s="27"/>
      <c r="AY202" s="27"/>
      <c r="AZ202" s="27"/>
      <c r="BA202" s="27"/>
      <c r="BB202" s="26"/>
      <c r="BC202" s="27"/>
      <c r="BD202" s="26"/>
      <c r="BE202" s="27"/>
      <c r="BF202" s="26"/>
      <c r="BH202" s="26"/>
      <c r="BI202" s="26"/>
      <c r="BJ202" s="26"/>
      <c r="BK202" s="26"/>
    </row>
    <row r="203" spans="3:63" x14ac:dyDescent="0.2">
      <c r="C203" s="26"/>
      <c r="D203" s="26"/>
      <c r="E203" s="26"/>
      <c r="F203" s="26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V203" s="27"/>
      <c r="AW203" s="27"/>
      <c r="AX203" s="27"/>
      <c r="AY203" s="27"/>
      <c r="AZ203" s="27"/>
      <c r="BA203" s="27"/>
      <c r="BB203" s="26"/>
      <c r="BC203" s="27"/>
      <c r="BD203" s="26"/>
      <c r="BE203" s="27"/>
      <c r="BF203" s="26"/>
      <c r="BH203" s="26"/>
      <c r="BI203" s="26"/>
      <c r="BJ203" s="26"/>
      <c r="BK203" s="26"/>
    </row>
    <row r="204" spans="3:63" x14ac:dyDescent="0.2">
      <c r="C204" s="26"/>
      <c r="D204" s="26"/>
      <c r="E204" s="26"/>
      <c r="F204" s="26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V204" s="27"/>
      <c r="AW204" s="27"/>
      <c r="AX204" s="27"/>
      <c r="AY204" s="27"/>
      <c r="AZ204" s="27"/>
      <c r="BA204" s="27"/>
      <c r="BB204" s="26"/>
      <c r="BC204" s="27"/>
      <c r="BD204" s="26"/>
      <c r="BE204" s="27"/>
      <c r="BF204" s="26"/>
      <c r="BH204" s="26"/>
      <c r="BI204" s="26"/>
      <c r="BJ204" s="26"/>
      <c r="BK204" s="26"/>
    </row>
    <row r="205" spans="3:63" x14ac:dyDescent="0.2">
      <c r="C205" s="26"/>
      <c r="D205" s="26"/>
      <c r="E205" s="26"/>
      <c r="F205" s="26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V205" s="27"/>
      <c r="AW205" s="27"/>
      <c r="AX205" s="27"/>
      <c r="AY205" s="27"/>
      <c r="AZ205" s="27"/>
      <c r="BA205" s="27"/>
      <c r="BB205" s="26"/>
      <c r="BC205" s="27"/>
      <c r="BD205" s="26"/>
      <c r="BE205" s="27"/>
      <c r="BF205" s="26"/>
      <c r="BH205" s="26"/>
      <c r="BI205" s="26"/>
      <c r="BJ205" s="26"/>
      <c r="BK205" s="26"/>
    </row>
    <row r="206" spans="3:63" x14ac:dyDescent="0.2">
      <c r="C206" s="26"/>
      <c r="D206" s="26"/>
      <c r="E206" s="26"/>
      <c r="F206" s="26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V206" s="27"/>
      <c r="AW206" s="27"/>
      <c r="AX206" s="27"/>
      <c r="AY206" s="27"/>
      <c r="AZ206" s="27"/>
      <c r="BA206" s="27"/>
      <c r="BB206" s="26"/>
      <c r="BC206" s="27"/>
      <c r="BD206" s="26"/>
      <c r="BE206" s="27"/>
      <c r="BF206" s="26"/>
      <c r="BH206" s="26"/>
      <c r="BI206" s="26"/>
      <c r="BJ206" s="26"/>
      <c r="BK206" s="26"/>
    </row>
    <row r="207" spans="3:63" x14ac:dyDescent="0.2">
      <c r="C207" s="26"/>
      <c r="D207" s="26"/>
      <c r="E207" s="26"/>
      <c r="F207" s="26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V207" s="27"/>
      <c r="AW207" s="27"/>
      <c r="AX207" s="27"/>
      <c r="AY207" s="27"/>
      <c r="AZ207" s="27"/>
      <c r="BA207" s="27"/>
      <c r="BB207" s="26"/>
      <c r="BC207" s="27"/>
      <c r="BD207" s="26"/>
      <c r="BE207" s="27"/>
      <c r="BF207" s="26"/>
      <c r="BH207" s="26"/>
      <c r="BI207" s="26"/>
      <c r="BJ207" s="26"/>
      <c r="BK207" s="26"/>
    </row>
    <row r="208" spans="3:63" x14ac:dyDescent="0.2">
      <c r="C208" s="26"/>
      <c r="D208" s="26"/>
      <c r="E208" s="26"/>
      <c r="F208" s="26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V208" s="27"/>
      <c r="AW208" s="27"/>
      <c r="AX208" s="27"/>
      <c r="AY208" s="27"/>
      <c r="AZ208" s="27"/>
      <c r="BA208" s="27"/>
      <c r="BB208" s="26"/>
      <c r="BC208" s="27"/>
      <c r="BD208" s="26"/>
      <c r="BE208" s="27"/>
      <c r="BF208" s="26"/>
      <c r="BH208" s="26"/>
      <c r="BI208" s="26"/>
      <c r="BJ208" s="26"/>
      <c r="BK208" s="26"/>
    </row>
    <row r="209" spans="3:63" x14ac:dyDescent="0.2">
      <c r="C209" s="26"/>
      <c r="D209" s="26"/>
      <c r="E209" s="26"/>
      <c r="F209" s="26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V209" s="27"/>
      <c r="AW209" s="27"/>
      <c r="AX209" s="27"/>
      <c r="AY209" s="27"/>
      <c r="AZ209" s="27"/>
      <c r="BA209" s="27"/>
      <c r="BB209" s="26"/>
      <c r="BC209" s="27"/>
      <c r="BD209" s="26"/>
      <c r="BE209" s="27"/>
      <c r="BF209" s="26"/>
      <c r="BH209" s="26"/>
      <c r="BI209" s="26"/>
      <c r="BJ209" s="26"/>
      <c r="BK209" s="26"/>
    </row>
    <row r="210" spans="3:63" x14ac:dyDescent="0.2">
      <c r="C210" s="26"/>
      <c r="D210" s="26"/>
      <c r="E210" s="26"/>
      <c r="F210" s="26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V210" s="27"/>
      <c r="AW210" s="27"/>
      <c r="AX210" s="27"/>
      <c r="AY210" s="27"/>
      <c r="AZ210" s="27"/>
      <c r="BA210" s="27"/>
      <c r="BB210" s="26"/>
      <c r="BC210" s="27"/>
      <c r="BD210" s="26"/>
      <c r="BE210" s="27"/>
      <c r="BF210" s="26"/>
      <c r="BH210" s="26"/>
      <c r="BI210" s="26"/>
      <c r="BJ210" s="26"/>
      <c r="BK210" s="26"/>
    </row>
    <row r="211" spans="3:63" x14ac:dyDescent="0.2">
      <c r="C211" s="26"/>
      <c r="D211" s="26"/>
      <c r="E211" s="26"/>
      <c r="F211" s="26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V211" s="27"/>
      <c r="AW211" s="27"/>
      <c r="AX211" s="27"/>
      <c r="AY211" s="27"/>
      <c r="AZ211" s="27"/>
      <c r="BA211" s="27"/>
      <c r="BB211" s="26"/>
      <c r="BC211" s="27"/>
      <c r="BD211" s="26"/>
      <c r="BE211" s="27"/>
      <c r="BF211" s="26"/>
      <c r="BH211" s="26"/>
      <c r="BI211" s="26"/>
      <c r="BJ211" s="26"/>
      <c r="BK211" s="26"/>
    </row>
    <row r="212" spans="3:63" x14ac:dyDescent="0.2">
      <c r="C212" s="26"/>
      <c r="D212" s="26"/>
      <c r="E212" s="26"/>
      <c r="F212" s="26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V212" s="27"/>
      <c r="AW212" s="27"/>
      <c r="AX212" s="27"/>
      <c r="AY212" s="27"/>
      <c r="AZ212" s="27"/>
      <c r="BA212" s="27"/>
      <c r="BB212" s="26"/>
      <c r="BC212" s="27"/>
      <c r="BD212" s="26"/>
      <c r="BE212" s="27"/>
      <c r="BF212" s="26"/>
      <c r="BH212" s="26"/>
      <c r="BI212" s="26"/>
      <c r="BJ212" s="26"/>
      <c r="BK212" s="26"/>
    </row>
    <row r="213" spans="3:63" x14ac:dyDescent="0.2">
      <c r="C213" s="26"/>
      <c r="D213" s="26"/>
      <c r="E213" s="26"/>
      <c r="F213" s="26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V213" s="27"/>
      <c r="AW213" s="27"/>
      <c r="AX213" s="27"/>
      <c r="AY213" s="27"/>
      <c r="AZ213" s="27"/>
      <c r="BA213" s="27"/>
      <c r="BB213" s="26"/>
      <c r="BC213" s="27"/>
      <c r="BD213" s="26"/>
      <c r="BE213" s="27"/>
      <c r="BF213" s="26"/>
      <c r="BH213" s="26"/>
      <c r="BI213" s="26"/>
      <c r="BJ213" s="26"/>
      <c r="BK213" s="26"/>
    </row>
    <row r="214" spans="3:63" x14ac:dyDescent="0.2">
      <c r="C214" s="26"/>
      <c r="D214" s="26"/>
      <c r="E214" s="26"/>
      <c r="F214" s="26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V214" s="27"/>
      <c r="AW214" s="27"/>
      <c r="AX214" s="27"/>
      <c r="AY214" s="27"/>
      <c r="AZ214" s="27"/>
      <c r="BA214" s="27"/>
      <c r="BB214" s="26"/>
      <c r="BC214" s="27"/>
      <c r="BD214" s="26"/>
      <c r="BE214" s="27"/>
      <c r="BF214" s="26"/>
      <c r="BH214" s="26"/>
      <c r="BI214" s="26"/>
      <c r="BJ214" s="26"/>
      <c r="BK214" s="26"/>
    </row>
    <row r="215" spans="3:63" x14ac:dyDescent="0.2">
      <c r="C215" s="26"/>
      <c r="D215" s="26"/>
      <c r="E215" s="26"/>
      <c r="F215" s="26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V215" s="27"/>
      <c r="AW215" s="27"/>
      <c r="AX215" s="27"/>
      <c r="AY215" s="27"/>
      <c r="AZ215" s="27"/>
      <c r="BA215" s="27"/>
      <c r="BB215" s="26"/>
      <c r="BC215" s="27"/>
      <c r="BD215" s="26"/>
      <c r="BE215" s="27"/>
      <c r="BF215" s="26"/>
      <c r="BH215" s="26"/>
      <c r="BI215" s="26"/>
      <c r="BJ215" s="26"/>
      <c r="BK215" s="26"/>
    </row>
    <row r="216" spans="3:63" x14ac:dyDescent="0.2">
      <c r="C216" s="26"/>
      <c r="D216" s="26"/>
      <c r="E216" s="26"/>
      <c r="F216" s="26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V216" s="27"/>
      <c r="AW216" s="27"/>
      <c r="AX216" s="27"/>
      <c r="AY216" s="27"/>
      <c r="AZ216" s="27"/>
      <c r="BA216" s="27"/>
      <c r="BB216" s="26"/>
      <c r="BC216" s="27"/>
      <c r="BD216" s="26"/>
      <c r="BE216" s="27"/>
      <c r="BF216" s="26"/>
      <c r="BH216" s="26"/>
      <c r="BI216" s="26"/>
      <c r="BJ216" s="26"/>
      <c r="BK216" s="26"/>
    </row>
    <row r="217" spans="3:63" x14ac:dyDescent="0.2">
      <c r="C217" s="26"/>
      <c r="D217" s="26"/>
      <c r="E217" s="26"/>
      <c r="F217" s="26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V217" s="27"/>
      <c r="AW217" s="27"/>
      <c r="AX217" s="27"/>
      <c r="AY217" s="27"/>
      <c r="AZ217" s="27"/>
      <c r="BA217" s="27"/>
      <c r="BB217" s="26"/>
      <c r="BC217" s="27"/>
      <c r="BD217" s="26"/>
      <c r="BE217" s="27"/>
      <c r="BF217" s="26"/>
      <c r="BH217" s="26"/>
      <c r="BI217" s="26"/>
      <c r="BJ217" s="26"/>
      <c r="BK217" s="26"/>
    </row>
    <row r="218" spans="3:63" x14ac:dyDescent="0.2">
      <c r="C218" s="26"/>
      <c r="D218" s="26"/>
      <c r="E218" s="26"/>
      <c r="F218" s="26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V218" s="27"/>
      <c r="AW218" s="27"/>
      <c r="AX218" s="27"/>
      <c r="AY218" s="27"/>
      <c r="AZ218" s="27"/>
      <c r="BA218" s="27"/>
      <c r="BB218" s="26"/>
      <c r="BC218" s="27"/>
      <c r="BD218" s="26"/>
      <c r="BE218" s="27"/>
      <c r="BF218" s="26"/>
      <c r="BH218" s="26"/>
      <c r="BI218" s="26"/>
      <c r="BJ218" s="26"/>
      <c r="BK218" s="26"/>
    </row>
    <row r="219" spans="3:63" x14ac:dyDescent="0.2">
      <c r="C219" s="26"/>
      <c r="D219" s="26"/>
      <c r="E219" s="26"/>
      <c r="F219" s="26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V219" s="27"/>
      <c r="AW219" s="27"/>
      <c r="AX219" s="27"/>
      <c r="AY219" s="27"/>
      <c r="AZ219" s="27"/>
      <c r="BA219" s="27"/>
      <c r="BB219" s="26"/>
      <c r="BC219" s="27"/>
      <c r="BD219" s="26"/>
      <c r="BE219" s="27"/>
      <c r="BF219" s="26"/>
      <c r="BH219" s="26"/>
      <c r="BI219" s="26"/>
      <c r="BJ219" s="26"/>
      <c r="BK219" s="26"/>
    </row>
    <row r="220" spans="3:63" x14ac:dyDescent="0.2">
      <c r="C220" s="26"/>
      <c r="D220" s="26"/>
      <c r="E220" s="26"/>
      <c r="F220" s="26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V220" s="27"/>
      <c r="AW220" s="27"/>
      <c r="AX220" s="27"/>
      <c r="AY220" s="27"/>
      <c r="AZ220" s="27"/>
      <c r="BA220" s="27"/>
      <c r="BB220" s="26"/>
      <c r="BC220" s="27"/>
      <c r="BD220" s="26"/>
      <c r="BE220" s="27"/>
      <c r="BF220" s="26"/>
      <c r="BH220" s="26"/>
      <c r="BI220" s="26"/>
      <c r="BJ220" s="26"/>
      <c r="BK220" s="26"/>
    </row>
    <row r="221" spans="3:63" x14ac:dyDescent="0.2">
      <c r="C221" s="26"/>
      <c r="D221" s="26"/>
      <c r="E221" s="26"/>
      <c r="F221" s="26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V221" s="27"/>
      <c r="AW221" s="27"/>
      <c r="AX221" s="27"/>
      <c r="AY221" s="27"/>
      <c r="AZ221" s="27"/>
      <c r="BA221" s="27"/>
      <c r="BB221" s="26"/>
      <c r="BC221" s="27"/>
      <c r="BD221" s="26"/>
      <c r="BE221" s="27"/>
      <c r="BF221" s="26"/>
      <c r="BH221" s="26"/>
      <c r="BI221" s="26"/>
      <c r="BJ221" s="26"/>
      <c r="BK221" s="26"/>
    </row>
    <row r="222" spans="3:63" x14ac:dyDescent="0.2">
      <c r="C222" s="26"/>
      <c r="D222" s="26"/>
      <c r="E222" s="26"/>
      <c r="F222" s="26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V222" s="27"/>
      <c r="AW222" s="27"/>
      <c r="AX222" s="27"/>
      <c r="AY222" s="27"/>
      <c r="AZ222" s="27"/>
      <c r="BA222" s="27"/>
      <c r="BB222" s="26"/>
      <c r="BC222" s="27"/>
      <c r="BD222" s="26"/>
      <c r="BE222" s="27"/>
      <c r="BF222" s="26"/>
      <c r="BH222" s="26"/>
      <c r="BI222" s="26"/>
      <c r="BJ222" s="26"/>
      <c r="BK222" s="26"/>
    </row>
    <row r="223" spans="3:63" x14ac:dyDescent="0.2">
      <c r="C223" s="26"/>
      <c r="D223" s="26"/>
      <c r="E223" s="26"/>
      <c r="F223" s="26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V223" s="27"/>
      <c r="AW223" s="27"/>
      <c r="AX223" s="27"/>
      <c r="AY223" s="27"/>
      <c r="AZ223" s="27"/>
      <c r="BA223" s="27"/>
      <c r="BB223" s="26"/>
      <c r="BC223" s="27"/>
      <c r="BD223" s="26"/>
      <c r="BE223" s="27"/>
      <c r="BF223" s="26"/>
      <c r="BH223" s="26"/>
      <c r="BI223" s="26"/>
      <c r="BJ223" s="26"/>
      <c r="BK223" s="26"/>
    </row>
    <row r="224" spans="3:63" x14ac:dyDescent="0.2">
      <c r="C224" s="26"/>
      <c r="D224" s="26"/>
      <c r="E224" s="26"/>
      <c r="F224" s="26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V224" s="27"/>
      <c r="AW224" s="27"/>
      <c r="AX224" s="27"/>
      <c r="AY224" s="27"/>
      <c r="AZ224" s="27"/>
      <c r="BA224" s="27"/>
      <c r="BB224" s="26"/>
      <c r="BC224" s="27"/>
      <c r="BD224" s="26"/>
      <c r="BE224" s="27"/>
      <c r="BF224" s="26"/>
      <c r="BH224" s="26"/>
      <c r="BI224" s="26"/>
      <c r="BJ224" s="26"/>
      <c r="BK224" s="26"/>
    </row>
    <row r="225" spans="3:63" x14ac:dyDescent="0.2">
      <c r="C225" s="26"/>
      <c r="D225" s="26"/>
      <c r="E225" s="26"/>
      <c r="F225" s="26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V225" s="27"/>
      <c r="AW225" s="27"/>
      <c r="AX225" s="27"/>
      <c r="AY225" s="27"/>
      <c r="AZ225" s="27"/>
      <c r="BA225" s="27"/>
      <c r="BB225" s="26"/>
      <c r="BC225" s="27"/>
      <c r="BD225" s="26"/>
      <c r="BE225" s="27"/>
      <c r="BF225" s="26"/>
      <c r="BH225" s="26"/>
      <c r="BI225" s="26"/>
      <c r="BJ225" s="26"/>
      <c r="BK225" s="26"/>
    </row>
    <row r="226" spans="3:63" x14ac:dyDescent="0.2">
      <c r="C226" s="26"/>
      <c r="D226" s="26"/>
      <c r="E226" s="26"/>
      <c r="F226" s="26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27"/>
      <c r="AV226" s="27"/>
      <c r="AW226" s="27"/>
      <c r="AX226" s="27"/>
      <c r="AY226" s="27"/>
      <c r="AZ226" s="27"/>
      <c r="BA226" s="27"/>
      <c r="BB226" s="26"/>
      <c r="BC226" s="27"/>
      <c r="BD226" s="26"/>
      <c r="BE226" s="27"/>
      <c r="BF226" s="26"/>
      <c r="BH226" s="26"/>
      <c r="BI226" s="26"/>
      <c r="BJ226" s="26"/>
      <c r="BK226" s="26"/>
    </row>
    <row r="227" spans="3:63" x14ac:dyDescent="0.2">
      <c r="C227" s="26"/>
      <c r="D227" s="26"/>
      <c r="E227" s="26"/>
      <c r="F227" s="26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  <c r="AR227" s="27"/>
      <c r="AS227" s="27"/>
      <c r="AT227" s="27"/>
      <c r="AV227" s="27"/>
      <c r="AW227" s="27"/>
      <c r="AX227" s="27"/>
      <c r="AY227" s="27"/>
      <c r="AZ227" s="27"/>
      <c r="BA227" s="27"/>
      <c r="BB227" s="26"/>
      <c r="BC227" s="27"/>
      <c r="BD227" s="26"/>
      <c r="BE227" s="27"/>
      <c r="BF227" s="26"/>
      <c r="BH227" s="26"/>
      <c r="BI227" s="26"/>
      <c r="BJ227" s="26"/>
      <c r="BK227" s="26"/>
    </row>
    <row r="228" spans="3:63" x14ac:dyDescent="0.2">
      <c r="C228" s="26"/>
      <c r="D228" s="26"/>
      <c r="E228" s="26"/>
      <c r="F228" s="26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V228" s="27"/>
      <c r="AW228" s="27"/>
      <c r="AX228" s="27"/>
      <c r="AY228" s="27"/>
      <c r="AZ228" s="27"/>
      <c r="BA228" s="27"/>
      <c r="BB228" s="26"/>
      <c r="BC228" s="27"/>
      <c r="BD228" s="26"/>
      <c r="BE228" s="27"/>
      <c r="BF228" s="26"/>
      <c r="BH228" s="26"/>
      <c r="BI228" s="26"/>
      <c r="BJ228" s="26"/>
      <c r="BK228" s="26"/>
    </row>
    <row r="229" spans="3:63" x14ac:dyDescent="0.2">
      <c r="C229" s="26"/>
      <c r="D229" s="26"/>
      <c r="E229" s="26"/>
      <c r="F229" s="26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V229" s="27"/>
      <c r="AW229" s="27"/>
      <c r="AX229" s="27"/>
      <c r="AY229" s="27"/>
      <c r="AZ229" s="27"/>
      <c r="BA229" s="27"/>
      <c r="BB229" s="26"/>
      <c r="BC229" s="27"/>
      <c r="BD229" s="26"/>
      <c r="BE229" s="27"/>
      <c r="BF229" s="26"/>
      <c r="BH229" s="26"/>
      <c r="BI229" s="26"/>
      <c r="BJ229" s="26"/>
      <c r="BK229" s="26"/>
    </row>
    <row r="230" spans="3:63" x14ac:dyDescent="0.2">
      <c r="C230" s="26"/>
      <c r="D230" s="26"/>
      <c r="E230" s="26"/>
      <c r="F230" s="26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V230" s="27"/>
      <c r="AW230" s="27"/>
      <c r="AX230" s="27"/>
      <c r="AY230" s="27"/>
      <c r="AZ230" s="27"/>
      <c r="BA230" s="27"/>
      <c r="BB230" s="26"/>
      <c r="BC230" s="27"/>
      <c r="BD230" s="26"/>
      <c r="BE230" s="27"/>
      <c r="BF230" s="26"/>
      <c r="BH230" s="26"/>
      <c r="BI230" s="26"/>
      <c r="BJ230" s="26"/>
      <c r="BK230" s="26"/>
    </row>
    <row r="231" spans="3:63" x14ac:dyDescent="0.2">
      <c r="C231" s="26"/>
      <c r="D231" s="26"/>
      <c r="E231" s="26"/>
      <c r="F231" s="26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V231" s="27"/>
      <c r="AW231" s="27"/>
      <c r="AX231" s="27"/>
      <c r="AY231" s="27"/>
      <c r="AZ231" s="27"/>
      <c r="BA231" s="27"/>
      <c r="BB231" s="26"/>
      <c r="BC231" s="27"/>
      <c r="BD231" s="26"/>
      <c r="BE231" s="27"/>
      <c r="BF231" s="26"/>
      <c r="BH231" s="26"/>
      <c r="BI231" s="26"/>
      <c r="BJ231" s="26"/>
      <c r="BK231" s="26"/>
    </row>
    <row r="232" spans="3:63" x14ac:dyDescent="0.2">
      <c r="C232" s="26"/>
      <c r="D232" s="26"/>
      <c r="E232" s="26"/>
      <c r="F232" s="26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V232" s="27"/>
      <c r="AW232" s="27"/>
      <c r="AX232" s="27"/>
      <c r="AY232" s="27"/>
      <c r="AZ232" s="27"/>
      <c r="BA232" s="27"/>
      <c r="BB232" s="26"/>
      <c r="BC232" s="27"/>
      <c r="BD232" s="26"/>
      <c r="BE232" s="27"/>
      <c r="BF232" s="26"/>
      <c r="BH232" s="26"/>
      <c r="BI232" s="26"/>
      <c r="BJ232" s="26"/>
      <c r="BK232" s="26"/>
    </row>
    <row r="233" spans="3:63" x14ac:dyDescent="0.2">
      <c r="C233" s="26"/>
      <c r="D233" s="26"/>
      <c r="E233" s="26"/>
      <c r="F233" s="26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V233" s="27"/>
      <c r="AW233" s="27"/>
      <c r="AX233" s="27"/>
      <c r="AY233" s="27"/>
      <c r="AZ233" s="27"/>
      <c r="BA233" s="27"/>
      <c r="BB233" s="26"/>
      <c r="BC233" s="27"/>
      <c r="BD233" s="26"/>
      <c r="BE233" s="27"/>
      <c r="BF233" s="26"/>
      <c r="BH233" s="26"/>
      <c r="BI233" s="26"/>
      <c r="BJ233" s="26"/>
      <c r="BK233" s="26"/>
    </row>
    <row r="234" spans="3:63" x14ac:dyDescent="0.2">
      <c r="C234" s="26"/>
      <c r="D234" s="26"/>
      <c r="E234" s="26"/>
      <c r="F234" s="26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27"/>
      <c r="AV234" s="27"/>
      <c r="AW234" s="27"/>
      <c r="AX234" s="27"/>
      <c r="AY234" s="27"/>
      <c r="AZ234" s="27"/>
      <c r="BA234" s="27"/>
      <c r="BB234" s="26"/>
      <c r="BC234" s="27"/>
      <c r="BD234" s="26"/>
      <c r="BE234" s="27"/>
      <c r="BF234" s="26"/>
      <c r="BH234" s="26"/>
      <c r="BI234" s="26"/>
      <c r="BJ234" s="26"/>
      <c r="BK234" s="26"/>
    </row>
    <row r="235" spans="3:63" x14ac:dyDescent="0.2">
      <c r="C235" s="26"/>
      <c r="D235" s="26"/>
      <c r="E235" s="26"/>
      <c r="F235" s="26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V235" s="27"/>
      <c r="AW235" s="27"/>
      <c r="AX235" s="27"/>
      <c r="AY235" s="27"/>
      <c r="AZ235" s="27"/>
      <c r="BA235" s="27"/>
      <c r="BB235" s="26"/>
      <c r="BC235" s="27"/>
      <c r="BD235" s="26"/>
      <c r="BE235" s="27"/>
      <c r="BF235" s="26"/>
      <c r="BH235" s="26"/>
      <c r="BI235" s="26"/>
      <c r="BJ235" s="26"/>
      <c r="BK235" s="26"/>
    </row>
    <row r="236" spans="3:63" x14ac:dyDescent="0.2">
      <c r="C236" s="26"/>
      <c r="D236" s="26"/>
      <c r="E236" s="26"/>
      <c r="F236" s="26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V236" s="27"/>
      <c r="AW236" s="27"/>
      <c r="AX236" s="27"/>
      <c r="AY236" s="27"/>
      <c r="AZ236" s="27"/>
      <c r="BA236" s="27"/>
      <c r="BB236" s="26"/>
      <c r="BC236" s="27"/>
      <c r="BD236" s="26"/>
      <c r="BE236" s="27"/>
      <c r="BF236" s="26"/>
      <c r="BH236" s="26"/>
      <c r="BI236" s="26"/>
      <c r="BJ236" s="26"/>
      <c r="BK236" s="26"/>
    </row>
    <row r="237" spans="3:63" x14ac:dyDescent="0.2">
      <c r="C237" s="26"/>
      <c r="D237" s="26"/>
      <c r="E237" s="26"/>
      <c r="F237" s="26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V237" s="27"/>
      <c r="AW237" s="27"/>
      <c r="AX237" s="27"/>
      <c r="AY237" s="27"/>
      <c r="AZ237" s="27"/>
      <c r="BA237" s="27"/>
      <c r="BB237" s="26"/>
      <c r="BC237" s="27"/>
      <c r="BD237" s="26"/>
      <c r="BE237" s="27"/>
      <c r="BF237" s="26"/>
      <c r="BH237" s="26"/>
      <c r="BI237" s="26"/>
      <c r="BJ237" s="26"/>
      <c r="BK237" s="26"/>
    </row>
    <row r="238" spans="3:63" x14ac:dyDescent="0.2">
      <c r="C238" s="26"/>
      <c r="D238" s="26"/>
      <c r="E238" s="26"/>
      <c r="F238" s="26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V238" s="27"/>
      <c r="AW238" s="27"/>
      <c r="AX238" s="27"/>
      <c r="AY238" s="27"/>
      <c r="AZ238" s="27"/>
      <c r="BA238" s="27"/>
      <c r="BB238" s="26"/>
      <c r="BC238" s="27"/>
      <c r="BD238" s="26"/>
      <c r="BE238" s="27"/>
      <c r="BF238" s="26"/>
      <c r="BH238" s="26"/>
      <c r="BI238" s="26"/>
      <c r="BJ238" s="26"/>
      <c r="BK238" s="26"/>
    </row>
    <row r="239" spans="3:63" x14ac:dyDescent="0.2">
      <c r="C239" s="26"/>
      <c r="D239" s="26"/>
      <c r="E239" s="26"/>
      <c r="F239" s="26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V239" s="27"/>
      <c r="AW239" s="27"/>
      <c r="AX239" s="27"/>
      <c r="AY239" s="27"/>
      <c r="AZ239" s="27"/>
      <c r="BA239" s="27"/>
      <c r="BB239" s="26"/>
      <c r="BC239" s="27"/>
      <c r="BD239" s="26"/>
      <c r="BE239" s="27"/>
      <c r="BF239" s="26"/>
      <c r="BH239" s="26"/>
      <c r="BI239" s="26"/>
      <c r="BJ239" s="26"/>
      <c r="BK239" s="26"/>
    </row>
    <row r="240" spans="3:63" x14ac:dyDescent="0.2">
      <c r="C240" s="26"/>
      <c r="D240" s="26"/>
      <c r="E240" s="26"/>
      <c r="F240" s="26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V240" s="27"/>
      <c r="AW240" s="27"/>
      <c r="AX240" s="27"/>
      <c r="AY240" s="27"/>
      <c r="AZ240" s="27"/>
      <c r="BA240" s="27"/>
      <c r="BB240" s="26"/>
      <c r="BC240" s="27"/>
      <c r="BD240" s="26"/>
      <c r="BE240" s="27"/>
      <c r="BF240" s="26"/>
      <c r="BH240" s="26"/>
      <c r="BI240" s="26"/>
      <c r="BJ240" s="26"/>
      <c r="BK240" s="26"/>
    </row>
    <row r="241" spans="3:63" x14ac:dyDescent="0.2">
      <c r="C241" s="26"/>
      <c r="D241" s="26"/>
      <c r="E241" s="26"/>
      <c r="F241" s="26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V241" s="27"/>
      <c r="AW241" s="27"/>
      <c r="AX241" s="27"/>
      <c r="AY241" s="27"/>
      <c r="AZ241" s="27"/>
      <c r="BA241" s="27"/>
      <c r="BB241" s="26"/>
      <c r="BC241" s="27"/>
      <c r="BD241" s="26"/>
      <c r="BE241" s="27"/>
      <c r="BF241" s="26"/>
      <c r="BH241" s="26"/>
      <c r="BI241" s="26"/>
      <c r="BJ241" s="26"/>
      <c r="BK241" s="26"/>
    </row>
    <row r="242" spans="3:63" x14ac:dyDescent="0.2">
      <c r="C242" s="26"/>
      <c r="D242" s="26"/>
      <c r="E242" s="26"/>
      <c r="F242" s="26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V242" s="27"/>
      <c r="AW242" s="27"/>
      <c r="AX242" s="27"/>
      <c r="AY242" s="27"/>
      <c r="AZ242" s="27"/>
      <c r="BA242" s="27"/>
      <c r="BB242" s="26"/>
      <c r="BC242" s="27"/>
      <c r="BD242" s="26"/>
      <c r="BE242" s="27"/>
      <c r="BF242" s="26"/>
      <c r="BH242" s="26"/>
      <c r="BI242" s="26"/>
      <c r="BJ242" s="26"/>
      <c r="BK242" s="26"/>
    </row>
    <row r="243" spans="3:63" x14ac:dyDescent="0.2">
      <c r="C243" s="26"/>
      <c r="D243" s="26"/>
      <c r="E243" s="26"/>
      <c r="F243" s="26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V243" s="27"/>
      <c r="AW243" s="27"/>
      <c r="AX243" s="27"/>
      <c r="AY243" s="27"/>
      <c r="AZ243" s="27"/>
      <c r="BA243" s="27"/>
      <c r="BB243" s="26"/>
      <c r="BC243" s="27"/>
      <c r="BD243" s="26"/>
      <c r="BE243" s="27"/>
      <c r="BF243" s="26"/>
      <c r="BH243" s="26"/>
      <c r="BI243" s="26"/>
      <c r="BJ243" s="26"/>
      <c r="BK243" s="26"/>
    </row>
    <row r="244" spans="3:63" x14ac:dyDescent="0.2">
      <c r="C244" s="26"/>
      <c r="D244" s="26"/>
      <c r="E244" s="26"/>
      <c r="F244" s="26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V244" s="27"/>
      <c r="AW244" s="27"/>
      <c r="AX244" s="27"/>
      <c r="AY244" s="27"/>
      <c r="AZ244" s="27"/>
      <c r="BA244" s="27"/>
      <c r="BB244" s="26"/>
      <c r="BC244" s="27"/>
      <c r="BD244" s="26"/>
      <c r="BE244" s="27"/>
      <c r="BF244" s="26"/>
      <c r="BH244" s="26"/>
      <c r="BI244" s="26"/>
      <c r="BJ244" s="26"/>
      <c r="BK244" s="26"/>
    </row>
    <row r="245" spans="3:63" x14ac:dyDescent="0.2">
      <c r="C245" s="26"/>
      <c r="D245" s="26"/>
      <c r="E245" s="26"/>
      <c r="F245" s="26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V245" s="27"/>
      <c r="AW245" s="27"/>
      <c r="AX245" s="27"/>
      <c r="AY245" s="27"/>
      <c r="AZ245" s="27"/>
      <c r="BA245" s="27"/>
      <c r="BB245" s="26"/>
      <c r="BC245" s="27"/>
      <c r="BD245" s="26"/>
      <c r="BE245" s="27"/>
      <c r="BF245" s="26"/>
      <c r="BH245" s="26"/>
      <c r="BI245" s="26"/>
      <c r="BJ245" s="26"/>
      <c r="BK245" s="26"/>
    </row>
    <row r="246" spans="3:63" x14ac:dyDescent="0.2">
      <c r="C246" s="26"/>
      <c r="D246" s="26"/>
      <c r="E246" s="26"/>
      <c r="F246" s="26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V246" s="27"/>
      <c r="AW246" s="27"/>
      <c r="AX246" s="27"/>
      <c r="AY246" s="27"/>
      <c r="AZ246" s="27"/>
      <c r="BA246" s="27"/>
      <c r="BB246" s="26"/>
      <c r="BC246" s="27"/>
      <c r="BD246" s="26"/>
      <c r="BE246" s="27"/>
      <c r="BF246" s="26"/>
      <c r="BH246" s="26"/>
      <c r="BI246" s="26"/>
      <c r="BJ246" s="26"/>
      <c r="BK246" s="26"/>
    </row>
    <row r="247" spans="3:63" x14ac:dyDescent="0.2">
      <c r="C247" s="26"/>
      <c r="D247" s="26"/>
      <c r="E247" s="26"/>
      <c r="F247" s="26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  <c r="AJ247" s="27"/>
      <c r="AK247" s="27"/>
      <c r="AL247" s="27"/>
      <c r="AM247" s="27"/>
      <c r="AN247" s="27"/>
      <c r="AO247" s="27"/>
      <c r="AP247" s="27"/>
      <c r="AQ247" s="27"/>
      <c r="AR247" s="27"/>
      <c r="AS247" s="27"/>
      <c r="AT247" s="27"/>
      <c r="AV247" s="27"/>
      <c r="AW247" s="27"/>
      <c r="AX247" s="27"/>
      <c r="AY247" s="27"/>
      <c r="AZ247" s="27"/>
      <c r="BA247" s="27"/>
      <c r="BB247" s="26"/>
      <c r="BC247" s="27"/>
      <c r="BD247" s="26"/>
      <c r="BE247" s="27"/>
      <c r="BF247" s="26"/>
      <c r="BH247" s="26"/>
      <c r="BI247" s="26"/>
      <c r="BJ247" s="26"/>
      <c r="BK247" s="26"/>
    </row>
    <row r="248" spans="3:63" x14ac:dyDescent="0.2">
      <c r="C248" s="26"/>
      <c r="D248" s="26"/>
      <c r="E248" s="26"/>
      <c r="F248" s="26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V248" s="27"/>
      <c r="AW248" s="27"/>
      <c r="AX248" s="27"/>
      <c r="AY248" s="27"/>
      <c r="AZ248" s="27"/>
      <c r="BA248" s="27"/>
      <c r="BB248" s="26"/>
      <c r="BC248" s="27"/>
      <c r="BD248" s="26"/>
      <c r="BE248" s="27"/>
      <c r="BF248" s="26"/>
      <c r="BH248" s="26"/>
      <c r="BI248" s="26"/>
      <c r="BJ248" s="26"/>
      <c r="BK248" s="26"/>
    </row>
    <row r="249" spans="3:63" x14ac:dyDescent="0.2">
      <c r="C249" s="26"/>
      <c r="D249" s="26"/>
      <c r="E249" s="26"/>
      <c r="F249" s="26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V249" s="27"/>
      <c r="AW249" s="27"/>
      <c r="AX249" s="27"/>
      <c r="AY249" s="27"/>
      <c r="AZ249" s="27"/>
      <c r="BA249" s="27"/>
      <c r="BB249" s="26"/>
      <c r="BC249" s="27"/>
      <c r="BD249" s="26"/>
      <c r="BE249" s="27"/>
      <c r="BF249" s="26"/>
      <c r="BH249" s="26"/>
      <c r="BI249" s="26"/>
      <c r="BJ249" s="26"/>
      <c r="BK249" s="26"/>
    </row>
    <row r="250" spans="3:63" x14ac:dyDescent="0.2">
      <c r="C250" s="26"/>
      <c r="D250" s="26"/>
      <c r="E250" s="26"/>
      <c r="F250" s="26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V250" s="27"/>
      <c r="AW250" s="27"/>
      <c r="AX250" s="27"/>
      <c r="AY250" s="27"/>
      <c r="AZ250" s="27"/>
      <c r="BA250" s="27"/>
      <c r="BB250" s="26"/>
      <c r="BC250" s="27"/>
      <c r="BD250" s="26"/>
      <c r="BE250" s="27"/>
      <c r="BF250" s="26"/>
      <c r="BH250" s="26"/>
      <c r="BI250" s="26"/>
      <c r="BJ250" s="26"/>
      <c r="BK250" s="26"/>
    </row>
    <row r="251" spans="3:63" x14ac:dyDescent="0.2">
      <c r="C251" s="26"/>
      <c r="D251" s="26"/>
      <c r="E251" s="26"/>
      <c r="F251" s="26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V251" s="27"/>
      <c r="AW251" s="27"/>
      <c r="AX251" s="27"/>
      <c r="AY251" s="27"/>
      <c r="AZ251" s="27"/>
      <c r="BA251" s="27"/>
      <c r="BB251" s="26"/>
      <c r="BC251" s="27"/>
      <c r="BD251" s="26"/>
      <c r="BE251" s="27"/>
      <c r="BF251" s="26"/>
      <c r="BH251" s="26"/>
      <c r="BI251" s="26"/>
      <c r="BJ251" s="26"/>
      <c r="BK251" s="26"/>
    </row>
    <row r="252" spans="3:63" x14ac:dyDescent="0.2">
      <c r="C252" s="26"/>
      <c r="D252" s="26"/>
      <c r="E252" s="26"/>
      <c r="F252" s="26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V252" s="27"/>
      <c r="AW252" s="27"/>
      <c r="AX252" s="27"/>
      <c r="AY252" s="27"/>
      <c r="AZ252" s="27"/>
      <c r="BA252" s="27"/>
      <c r="BB252" s="26"/>
      <c r="BC252" s="27"/>
      <c r="BD252" s="26"/>
      <c r="BE252" s="27"/>
      <c r="BF252" s="26"/>
      <c r="BH252" s="26"/>
      <c r="BI252" s="26"/>
      <c r="BJ252" s="26"/>
      <c r="BK252" s="26"/>
    </row>
    <row r="253" spans="3:63" x14ac:dyDescent="0.2">
      <c r="C253" s="26"/>
      <c r="D253" s="26"/>
      <c r="E253" s="26"/>
      <c r="F253" s="26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V253" s="27"/>
      <c r="AW253" s="27"/>
      <c r="AX253" s="27"/>
      <c r="AY253" s="27"/>
      <c r="AZ253" s="27"/>
      <c r="BA253" s="27"/>
      <c r="BB253" s="26"/>
      <c r="BC253" s="27"/>
      <c r="BD253" s="26"/>
      <c r="BE253" s="27"/>
      <c r="BF253" s="26"/>
      <c r="BH253" s="26"/>
      <c r="BI253" s="26"/>
      <c r="BJ253" s="26"/>
      <c r="BK253" s="26"/>
    </row>
    <row r="254" spans="3:63" x14ac:dyDescent="0.2">
      <c r="C254" s="26"/>
      <c r="D254" s="26"/>
      <c r="E254" s="26"/>
      <c r="F254" s="26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V254" s="27"/>
      <c r="AW254" s="27"/>
      <c r="AX254" s="27"/>
      <c r="AY254" s="27"/>
      <c r="AZ254" s="27"/>
      <c r="BA254" s="27"/>
      <c r="BB254" s="26"/>
      <c r="BC254" s="27"/>
      <c r="BD254" s="26"/>
      <c r="BE254" s="27"/>
      <c r="BF254" s="26"/>
      <c r="BH254" s="26"/>
      <c r="BI254" s="26"/>
      <c r="BJ254" s="26"/>
      <c r="BK254" s="26"/>
    </row>
    <row r="255" spans="3:63" x14ac:dyDescent="0.2">
      <c r="C255" s="26"/>
      <c r="D255" s="26"/>
      <c r="E255" s="26"/>
      <c r="F255" s="26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V255" s="27"/>
      <c r="AW255" s="27"/>
      <c r="AX255" s="27"/>
      <c r="AY255" s="27"/>
      <c r="AZ255" s="27"/>
      <c r="BA255" s="27"/>
      <c r="BB255" s="26"/>
      <c r="BC255" s="27"/>
      <c r="BD255" s="26"/>
      <c r="BE255" s="27"/>
      <c r="BF255" s="26"/>
      <c r="BH255" s="26"/>
      <c r="BI255" s="26"/>
      <c r="BJ255" s="26"/>
      <c r="BK255" s="26"/>
    </row>
    <row r="256" spans="3:63" x14ac:dyDescent="0.2">
      <c r="C256" s="26"/>
      <c r="D256" s="26"/>
      <c r="E256" s="26"/>
      <c r="F256" s="26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V256" s="27"/>
      <c r="AW256" s="27"/>
      <c r="AX256" s="27"/>
      <c r="AY256" s="27"/>
      <c r="AZ256" s="27"/>
      <c r="BA256" s="27"/>
      <c r="BB256" s="26"/>
      <c r="BC256" s="27"/>
      <c r="BD256" s="26"/>
      <c r="BE256" s="27"/>
      <c r="BF256" s="26"/>
      <c r="BH256" s="26"/>
      <c r="BI256" s="26"/>
      <c r="BJ256" s="26"/>
      <c r="BK256" s="26"/>
    </row>
    <row r="257" spans="3:63" x14ac:dyDescent="0.2">
      <c r="C257" s="26"/>
      <c r="D257" s="26"/>
      <c r="E257" s="26"/>
      <c r="F257" s="26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  <c r="AH257" s="27"/>
      <c r="AI257" s="27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V257" s="27"/>
      <c r="AW257" s="27"/>
      <c r="AX257" s="27"/>
      <c r="AY257" s="27"/>
      <c r="AZ257" s="27"/>
      <c r="BA257" s="27"/>
      <c r="BB257" s="26"/>
      <c r="BC257" s="27"/>
      <c r="BD257" s="26"/>
      <c r="BE257" s="27"/>
      <c r="BF257" s="26"/>
      <c r="BH257" s="26"/>
      <c r="BI257" s="26"/>
      <c r="BJ257" s="26"/>
      <c r="BK257" s="26"/>
    </row>
    <row r="258" spans="3:63" x14ac:dyDescent="0.2">
      <c r="C258" s="26"/>
      <c r="D258" s="26"/>
      <c r="E258" s="26"/>
      <c r="F258" s="26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V258" s="27"/>
      <c r="AW258" s="27"/>
      <c r="AX258" s="27"/>
      <c r="AY258" s="27"/>
      <c r="AZ258" s="27"/>
      <c r="BA258" s="27"/>
      <c r="BB258" s="26"/>
      <c r="BC258" s="27"/>
      <c r="BD258" s="26"/>
      <c r="BE258" s="27"/>
      <c r="BF258" s="26"/>
      <c r="BH258" s="26"/>
      <c r="BI258" s="26"/>
      <c r="BJ258" s="26"/>
      <c r="BK258" s="26"/>
    </row>
    <row r="259" spans="3:63" x14ac:dyDescent="0.2">
      <c r="C259" s="26"/>
      <c r="D259" s="26"/>
      <c r="E259" s="26"/>
      <c r="F259" s="26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V259" s="27"/>
      <c r="AW259" s="27"/>
      <c r="AX259" s="27"/>
      <c r="AY259" s="27"/>
      <c r="AZ259" s="27"/>
      <c r="BA259" s="27"/>
      <c r="BB259" s="26"/>
      <c r="BC259" s="27"/>
      <c r="BD259" s="26"/>
      <c r="BE259" s="27"/>
      <c r="BF259" s="26"/>
      <c r="BH259" s="26"/>
      <c r="BI259" s="26"/>
      <c r="BJ259" s="26"/>
      <c r="BK259" s="26"/>
    </row>
    <row r="260" spans="3:63" x14ac:dyDescent="0.2">
      <c r="C260" s="26"/>
      <c r="D260" s="26"/>
      <c r="E260" s="26"/>
      <c r="F260" s="26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V260" s="27"/>
      <c r="AW260" s="27"/>
      <c r="AX260" s="27"/>
      <c r="AY260" s="27"/>
      <c r="AZ260" s="27"/>
      <c r="BA260" s="27"/>
      <c r="BB260" s="26"/>
      <c r="BC260" s="27"/>
      <c r="BD260" s="26"/>
      <c r="BE260" s="27"/>
      <c r="BF260" s="26"/>
      <c r="BH260" s="26"/>
      <c r="BI260" s="26"/>
      <c r="BJ260" s="26"/>
      <c r="BK260" s="26"/>
    </row>
    <row r="261" spans="3:63" x14ac:dyDescent="0.2">
      <c r="C261" s="26"/>
      <c r="D261" s="26"/>
      <c r="E261" s="26"/>
      <c r="F261" s="26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  <c r="AH261" s="27"/>
      <c r="AI261" s="27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V261" s="27"/>
      <c r="AW261" s="27"/>
      <c r="AX261" s="27"/>
      <c r="AY261" s="27"/>
      <c r="AZ261" s="27"/>
      <c r="BA261" s="27"/>
      <c r="BB261" s="26"/>
      <c r="BC261" s="27"/>
      <c r="BD261" s="26"/>
      <c r="BE261" s="27"/>
      <c r="BF261" s="26"/>
      <c r="BH261" s="26"/>
      <c r="BI261" s="26"/>
      <c r="BJ261" s="26"/>
      <c r="BK261" s="26"/>
    </row>
    <row r="262" spans="3:63" x14ac:dyDescent="0.2">
      <c r="C262" s="26"/>
      <c r="D262" s="26"/>
      <c r="E262" s="26"/>
      <c r="F262" s="26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V262" s="27"/>
      <c r="AW262" s="27"/>
      <c r="AX262" s="27"/>
      <c r="AY262" s="27"/>
      <c r="AZ262" s="27"/>
      <c r="BA262" s="27"/>
      <c r="BB262" s="26"/>
      <c r="BC262" s="27"/>
      <c r="BD262" s="26"/>
      <c r="BE262" s="27"/>
      <c r="BF262" s="26"/>
      <c r="BH262" s="26"/>
      <c r="BI262" s="26"/>
      <c r="BJ262" s="26"/>
      <c r="BK262" s="26"/>
    </row>
    <row r="263" spans="3:63" x14ac:dyDescent="0.2">
      <c r="C263" s="26"/>
      <c r="D263" s="26"/>
      <c r="E263" s="26"/>
      <c r="F263" s="26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V263" s="27"/>
      <c r="AW263" s="27"/>
      <c r="AX263" s="27"/>
      <c r="AY263" s="27"/>
      <c r="AZ263" s="27"/>
      <c r="BA263" s="27"/>
      <c r="BB263" s="26"/>
      <c r="BC263" s="27"/>
      <c r="BD263" s="26"/>
      <c r="BE263" s="27"/>
      <c r="BF263" s="26"/>
      <c r="BH263" s="26"/>
      <c r="BI263" s="26"/>
      <c r="BJ263" s="26"/>
      <c r="BK263" s="26"/>
    </row>
    <row r="264" spans="3:63" x14ac:dyDescent="0.2">
      <c r="C264" s="26"/>
      <c r="D264" s="26"/>
      <c r="E264" s="26"/>
      <c r="F264" s="26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V264" s="27"/>
      <c r="AW264" s="27"/>
      <c r="AX264" s="27"/>
      <c r="AY264" s="27"/>
      <c r="AZ264" s="27"/>
      <c r="BA264" s="27"/>
      <c r="BB264" s="26"/>
      <c r="BC264" s="27"/>
      <c r="BD264" s="26"/>
      <c r="BE264" s="27"/>
      <c r="BF264" s="26"/>
      <c r="BH264" s="26"/>
      <c r="BI264" s="26"/>
      <c r="BJ264" s="26"/>
      <c r="BK264" s="26"/>
    </row>
    <row r="265" spans="3:63" x14ac:dyDescent="0.2">
      <c r="C265" s="26"/>
      <c r="D265" s="26"/>
      <c r="E265" s="26"/>
      <c r="F265" s="26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V265" s="27"/>
      <c r="AW265" s="27"/>
      <c r="AX265" s="27"/>
      <c r="AY265" s="27"/>
      <c r="AZ265" s="27"/>
      <c r="BA265" s="27"/>
      <c r="BB265" s="26"/>
      <c r="BC265" s="27"/>
      <c r="BD265" s="26"/>
      <c r="BE265" s="27"/>
      <c r="BF265" s="26"/>
      <c r="BH265" s="26"/>
      <c r="BI265" s="26"/>
      <c r="BJ265" s="26"/>
      <c r="BK265" s="26"/>
    </row>
    <row r="266" spans="3:63" x14ac:dyDescent="0.2">
      <c r="C266" s="26"/>
      <c r="D266" s="26"/>
      <c r="E266" s="26"/>
      <c r="F266" s="26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V266" s="27"/>
      <c r="AW266" s="27"/>
      <c r="AX266" s="27"/>
      <c r="AY266" s="27"/>
      <c r="AZ266" s="27"/>
      <c r="BA266" s="27"/>
      <c r="BB266" s="26"/>
      <c r="BC266" s="27"/>
      <c r="BD266" s="26"/>
      <c r="BE266" s="27"/>
      <c r="BF266" s="26"/>
      <c r="BH266" s="26"/>
      <c r="BI266" s="26"/>
      <c r="BJ266" s="26"/>
      <c r="BK266" s="26"/>
    </row>
    <row r="267" spans="3:63" x14ac:dyDescent="0.2">
      <c r="C267" s="26"/>
      <c r="D267" s="26"/>
      <c r="E267" s="26"/>
      <c r="F267" s="26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V267" s="27"/>
      <c r="AW267" s="27"/>
      <c r="AX267" s="27"/>
      <c r="AY267" s="27"/>
      <c r="AZ267" s="27"/>
      <c r="BA267" s="27"/>
      <c r="BB267" s="26"/>
      <c r="BC267" s="27"/>
      <c r="BD267" s="26"/>
      <c r="BE267" s="27"/>
      <c r="BF267" s="26"/>
      <c r="BH267" s="26"/>
      <c r="BI267" s="26"/>
      <c r="BJ267" s="26"/>
      <c r="BK267" s="26"/>
    </row>
    <row r="268" spans="3:63" x14ac:dyDescent="0.2">
      <c r="C268" s="26"/>
      <c r="D268" s="26"/>
      <c r="E268" s="26"/>
      <c r="F268" s="26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V268" s="27"/>
      <c r="AW268" s="27"/>
      <c r="AX268" s="27"/>
      <c r="AY268" s="27"/>
      <c r="AZ268" s="27"/>
      <c r="BA268" s="27"/>
      <c r="BB268" s="26"/>
      <c r="BC268" s="27"/>
      <c r="BD268" s="26"/>
      <c r="BE268" s="27"/>
      <c r="BF268" s="26"/>
      <c r="BH268" s="26"/>
      <c r="BI268" s="26"/>
      <c r="BJ268" s="26"/>
      <c r="BK268" s="26"/>
    </row>
    <row r="269" spans="3:63" x14ac:dyDescent="0.2">
      <c r="C269" s="26"/>
      <c r="D269" s="26"/>
      <c r="E269" s="26"/>
      <c r="F269" s="26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  <c r="AJ269" s="27"/>
      <c r="AK269" s="27"/>
      <c r="AL269" s="27"/>
      <c r="AM269" s="27"/>
      <c r="AN269" s="27"/>
      <c r="AO269" s="27"/>
      <c r="AP269" s="27"/>
      <c r="AQ269" s="27"/>
      <c r="AR269" s="27"/>
      <c r="AS269" s="27"/>
      <c r="AT269" s="27"/>
      <c r="AV269" s="27"/>
      <c r="AW269" s="27"/>
      <c r="AX269" s="27"/>
      <c r="AY269" s="27"/>
      <c r="AZ269" s="27"/>
      <c r="BA269" s="27"/>
      <c r="BB269" s="26"/>
      <c r="BC269" s="27"/>
      <c r="BD269" s="26"/>
      <c r="BE269" s="27"/>
      <c r="BF269" s="26"/>
      <c r="BH269" s="26"/>
      <c r="BI269" s="26"/>
      <c r="BJ269" s="26"/>
      <c r="BK269" s="26"/>
    </row>
    <row r="270" spans="3:63" x14ac:dyDescent="0.2">
      <c r="C270" s="26"/>
      <c r="D270" s="26"/>
      <c r="E270" s="26"/>
      <c r="F270" s="26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  <c r="AJ270" s="27"/>
      <c r="AK270" s="27"/>
      <c r="AL270" s="27"/>
      <c r="AM270" s="27"/>
      <c r="AN270" s="27"/>
      <c r="AO270" s="27"/>
      <c r="AP270" s="27"/>
      <c r="AQ270" s="27"/>
      <c r="AR270" s="27"/>
      <c r="AS270" s="27"/>
      <c r="AT270" s="27"/>
      <c r="AV270" s="27"/>
      <c r="AW270" s="27"/>
      <c r="AX270" s="27"/>
      <c r="AY270" s="27"/>
      <c r="AZ270" s="27"/>
      <c r="BA270" s="27"/>
      <c r="BB270" s="26"/>
      <c r="BC270" s="27"/>
      <c r="BD270" s="26"/>
      <c r="BE270" s="27"/>
      <c r="BF270" s="26"/>
      <c r="BH270" s="26"/>
      <c r="BI270" s="26"/>
      <c r="BJ270" s="26"/>
      <c r="BK270" s="26"/>
    </row>
    <row r="271" spans="3:63" x14ac:dyDescent="0.2">
      <c r="C271" s="26"/>
      <c r="D271" s="26"/>
      <c r="E271" s="26"/>
      <c r="F271" s="26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V271" s="27"/>
      <c r="AW271" s="27"/>
      <c r="AX271" s="27"/>
      <c r="AY271" s="27"/>
      <c r="AZ271" s="27"/>
      <c r="BA271" s="27"/>
      <c r="BB271" s="26"/>
      <c r="BC271" s="27"/>
      <c r="BD271" s="26"/>
      <c r="BE271" s="27"/>
      <c r="BF271" s="26"/>
      <c r="BH271" s="26"/>
      <c r="BI271" s="26"/>
      <c r="BJ271" s="26"/>
      <c r="BK271" s="26"/>
    </row>
    <row r="272" spans="3:63" x14ac:dyDescent="0.2">
      <c r="C272" s="26"/>
      <c r="D272" s="26"/>
      <c r="E272" s="26"/>
      <c r="F272" s="26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V272" s="27"/>
      <c r="AW272" s="27"/>
      <c r="AX272" s="27"/>
      <c r="AY272" s="27"/>
      <c r="AZ272" s="27"/>
      <c r="BA272" s="27"/>
      <c r="BB272" s="26"/>
      <c r="BC272" s="27"/>
      <c r="BD272" s="26"/>
      <c r="BE272" s="27"/>
      <c r="BF272" s="26"/>
      <c r="BH272" s="26"/>
      <c r="BI272" s="26"/>
      <c r="BJ272" s="26"/>
      <c r="BK272" s="26"/>
    </row>
    <row r="273" spans="3:63" x14ac:dyDescent="0.2">
      <c r="C273" s="26"/>
      <c r="D273" s="26"/>
      <c r="E273" s="26"/>
      <c r="F273" s="26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  <c r="AJ273" s="27"/>
      <c r="AK273" s="27"/>
      <c r="AL273" s="27"/>
      <c r="AM273" s="27"/>
      <c r="AN273" s="27"/>
      <c r="AO273" s="27"/>
      <c r="AP273" s="27"/>
      <c r="AQ273" s="27"/>
      <c r="AR273" s="27"/>
      <c r="AS273" s="27"/>
      <c r="AT273" s="27"/>
      <c r="AV273" s="27"/>
      <c r="AW273" s="27"/>
      <c r="AX273" s="27"/>
      <c r="AY273" s="27"/>
      <c r="AZ273" s="27"/>
      <c r="BA273" s="27"/>
      <c r="BB273" s="26"/>
      <c r="BC273" s="27"/>
      <c r="BD273" s="26"/>
      <c r="BE273" s="27"/>
      <c r="BF273" s="26"/>
      <c r="BH273" s="26"/>
      <c r="BI273" s="26"/>
      <c r="BJ273" s="26"/>
      <c r="BK273" s="26"/>
    </row>
    <row r="274" spans="3:63" x14ac:dyDescent="0.2">
      <c r="C274" s="26"/>
      <c r="D274" s="26"/>
      <c r="E274" s="26"/>
      <c r="F274" s="26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V274" s="27"/>
      <c r="AW274" s="27"/>
      <c r="AX274" s="27"/>
      <c r="AY274" s="27"/>
      <c r="AZ274" s="27"/>
      <c r="BA274" s="27"/>
      <c r="BB274" s="26"/>
      <c r="BC274" s="27"/>
      <c r="BD274" s="26"/>
      <c r="BE274" s="27"/>
      <c r="BF274" s="26"/>
      <c r="BH274" s="26"/>
      <c r="BI274" s="26"/>
      <c r="BJ274" s="26"/>
      <c r="BK274" s="26"/>
    </row>
    <row r="275" spans="3:63" x14ac:dyDescent="0.2">
      <c r="C275" s="26"/>
      <c r="D275" s="26"/>
      <c r="E275" s="26"/>
      <c r="F275" s="26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  <c r="AJ275" s="27"/>
      <c r="AK275" s="27"/>
      <c r="AL275" s="27"/>
      <c r="AM275" s="27"/>
      <c r="AN275" s="27"/>
      <c r="AO275" s="27"/>
      <c r="AP275" s="27"/>
      <c r="AQ275" s="27"/>
      <c r="AR275" s="27"/>
      <c r="AS275" s="27"/>
      <c r="AT275" s="27"/>
      <c r="AV275" s="27"/>
      <c r="AW275" s="27"/>
      <c r="AX275" s="27"/>
      <c r="AY275" s="27"/>
      <c r="AZ275" s="27"/>
      <c r="BA275" s="27"/>
      <c r="BB275" s="26"/>
      <c r="BC275" s="27"/>
      <c r="BD275" s="26"/>
      <c r="BE275" s="27"/>
      <c r="BF275" s="26"/>
      <c r="BH275" s="26"/>
      <c r="BI275" s="26"/>
      <c r="BJ275" s="26"/>
      <c r="BK275" s="26"/>
    </row>
    <row r="276" spans="3:63" x14ac:dyDescent="0.2">
      <c r="C276" s="26"/>
      <c r="D276" s="26"/>
      <c r="E276" s="26"/>
      <c r="F276" s="26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V276" s="27"/>
      <c r="AW276" s="27"/>
      <c r="AX276" s="27"/>
      <c r="AY276" s="27"/>
      <c r="AZ276" s="27"/>
      <c r="BA276" s="27"/>
      <c r="BB276" s="26"/>
      <c r="BC276" s="27"/>
      <c r="BD276" s="26"/>
      <c r="BE276" s="27"/>
      <c r="BF276" s="26"/>
      <c r="BH276" s="26"/>
      <c r="BI276" s="26"/>
      <c r="BJ276" s="26"/>
      <c r="BK276" s="26"/>
    </row>
    <row r="277" spans="3:63" x14ac:dyDescent="0.2">
      <c r="C277" s="26"/>
      <c r="D277" s="26"/>
      <c r="E277" s="26"/>
      <c r="F277" s="26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V277" s="27"/>
      <c r="AW277" s="27"/>
      <c r="AX277" s="27"/>
      <c r="AY277" s="27"/>
      <c r="AZ277" s="27"/>
      <c r="BA277" s="27"/>
      <c r="BB277" s="26"/>
      <c r="BC277" s="27"/>
      <c r="BD277" s="26"/>
      <c r="BE277" s="27"/>
      <c r="BF277" s="26"/>
      <c r="BH277" s="26"/>
      <c r="BI277" s="26"/>
      <c r="BJ277" s="26"/>
      <c r="BK277" s="26"/>
    </row>
    <row r="278" spans="3:63" x14ac:dyDescent="0.2">
      <c r="C278" s="26"/>
      <c r="D278" s="26"/>
      <c r="E278" s="26"/>
      <c r="F278" s="26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  <c r="AJ278" s="27"/>
      <c r="AK278" s="27"/>
      <c r="AL278" s="27"/>
      <c r="AM278" s="27"/>
      <c r="AN278" s="27"/>
      <c r="AO278" s="27"/>
      <c r="AP278" s="27"/>
      <c r="AQ278" s="27"/>
      <c r="AR278" s="27"/>
      <c r="AS278" s="27"/>
      <c r="AT278" s="27"/>
      <c r="AV278" s="27"/>
      <c r="AW278" s="27"/>
      <c r="AX278" s="27"/>
      <c r="AY278" s="27"/>
      <c r="AZ278" s="27"/>
      <c r="BA278" s="27"/>
      <c r="BB278" s="26"/>
      <c r="BC278" s="27"/>
      <c r="BD278" s="26"/>
      <c r="BE278" s="27"/>
      <c r="BF278" s="26"/>
      <c r="BH278" s="26"/>
      <c r="BI278" s="26"/>
      <c r="BJ278" s="26"/>
      <c r="BK278" s="26"/>
    </row>
    <row r="279" spans="3:63" x14ac:dyDescent="0.2">
      <c r="C279" s="26"/>
      <c r="D279" s="26"/>
      <c r="E279" s="26"/>
      <c r="F279" s="26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V279" s="27"/>
      <c r="AW279" s="27"/>
      <c r="AX279" s="27"/>
      <c r="AY279" s="27"/>
      <c r="AZ279" s="27"/>
      <c r="BA279" s="27"/>
      <c r="BB279" s="26"/>
      <c r="BC279" s="27"/>
      <c r="BD279" s="26"/>
      <c r="BE279" s="27"/>
      <c r="BF279" s="26"/>
      <c r="BH279" s="26"/>
      <c r="BI279" s="26"/>
      <c r="BJ279" s="26"/>
      <c r="BK279" s="26"/>
    </row>
    <row r="280" spans="3:63" x14ac:dyDescent="0.2">
      <c r="C280" s="26"/>
      <c r="D280" s="26"/>
      <c r="E280" s="26"/>
      <c r="F280" s="26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V280" s="27"/>
      <c r="AW280" s="27"/>
      <c r="AX280" s="27"/>
      <c r="AY280" s="27"/>
      <c r="AZ280" s="27"/>
      <c r="BA280" s="27"/>
      <c r="BB280" s="26"/>
      <c r="BC280" s="27"/>
      <c r="BD280" s="26"/>
      <c r="BE280" s="27"/>
      <c r="BF280" s="26"/>
      <c r="BH280" s="26"/>
      <c r="BI280" s="26"/>
      <c r="BJ280" s="26"/>
      <c r="BK280" s="26"/>
    </row>
    <row r="281" spans="3:63" x14ac:dyDescent="0.2">
      <c r="C281" s="26"/>
      <c r="D281" s="26"/>
      <c r="E281" s="26"/>
      <c r="F281" s="26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7"/>
      <c r="AH281" s="27"/>
      <c r="AI281" s="27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27"/>
      <c r="AV281" s="27"/>
      <c r="AW281" s="27"/>
      <c r="AX281" s="27"/>
      <c r="AY281" s="27"/>
      <c r="AZ281" s="27"/>
      <c r="BA281" s="27"/>
      <c r="BB281" s="26"/>
      <c r="BC281" s="27"/>
      <c r="BD281" s="26"/>
      <c r="BE281" s="27"/>
      <c r="BF281" s="26"/>
      <c r="BH281" s="26"/>
      <c r="BI281" s="26"/>
      <c r="BJ281" s="26"/>
      <c r="BK281" s="26"/>
    </row>
    <row r="282" spans="3:63" x14ac:dyDescent="0.2">
      <c r="C282" s="26"/>
      <c r="D282" s="26"/>
      <c r="E282" s="26"/>
      <c r="F282" s="26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V282" s="27"/>
      <c r="AW282" s="27"/>
      <c r="AX282" s="27"/>
      <c r="AY282" s="27"/>
      <c r="AZ282" s="27"/>
      <c r="BA282" s="27"/>
      <c r="BB282" s="26"/>
      <c r="BC282" s="27"/>
      <c r="BD282" s="26"/>
      <c r="BE282" s="27"/>
      <c r="BF282" s="26"/>
      <c r="BH282" s="26"/>
      <c r="BI282" s="26"/>
      <c r="BJ282" s="26"/>
      <c r="BK282" s="26"/>
    </row>
    <row r="283" spans="3:63" x14ac:dyDescent="0.2">
      <c r="C283" s="26"/>
      <c r="D283" s="26"/>
      <c r="E283" s="26"/>
      <c r="F283" s="26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  <c r="AJ283" s="27"/>
      <c r="AK283" s="27"/>
      <c r="AL283" s="27"/>
      <c r="AM283" s="27"/>
      <c r="AN283" s="27"/>
      <c r="AO283" s="27"/>
      <c r="AP283" s="27"/>
      <c r="AQ283" s="27"/>
      <c r="AR283" s="27"/>
      <c r="AS283" s="27"/>
      <c r="AT283" s="27"/>
      <c r="AV283" s="27"/>
      <c r="AW283" s="27"/>
      <c r="AX283" s="27"/>
      <c r="AY283" s="27"/>
      <c r="AZ283" s="27"/>
      <c r="BA283" s="27"/>
      <c r="BB283" s="26"/>
      <c r="BC283" s="27"/>
      <c r="BD283" s="26"/>
      <c r="BE283" s="27"/>
      <c r="BF283" s="26"/>
      <c r="BH283" s="26"/>
      <c r="BI283" s="26"/>
      <c r="BJ283" s="26"/>
      <c r="BK283" s="26"/>
    </row>
    <row r="284" spans="3:63" x14ac:dyDescent="0.2">
      <c r="C284" s="26"/>
      <c r="D284" s="26"/>
      <c r="E284" s="26"/>
      <c r="F284" s="26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27"/>
      <c r="AL284" s="27"/>
      <c r="AM284" s="27"/>
      <c r="AN284" s="27"/>
      <c r="AO284" s="27"/>
      <c r="AP284" s="27"/>
      <c r="AQ284" s="27"/>
      <c r="AR284" s="27"/>
      <c r="AS284" s="27"/>
      <c r="AT284" s="27"/>
      <c r="AV284" s="27"/>
      <c r="AW284" s="27"/>
      <c r="AX284" s="27"/>
      <c r="AY284" s="27"/>
      <c r="AZ284" s="27"/>
      <c r="BA284" s="27"/>
      <c r="BB284" s="26"/>
      <c r="BC284" s="27"/>
      <c r="BD284" s="26"/>
      <c r="BE284" s="27"/>
      <c r="BF284" s="26"/>
      <c r="BH284" s="26"/>
      <c r="BI284" s="26"/>
      <c r="BJ284" s="26"/>
      <c r="BK284" s="26"/>
    </row>
    <row r="285" spans="3:63" x14ac:dyDescent="0.2">
      <c r="C285" s="26"/>
      <c r="D285" s="26"/>
      <c r="E285" s="26"/>
      <c r="F285" s="26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V285" s="27"/>
      <c r="AW285" s="27"/>
      <c r="AX285" s="27"/>
      <c r="AY285" s="27"/>
      <c r="AZ285" s="27"/>
      <c r="BA285" s="27"/>
      <c r="BB285" s="26"/>
      <c r="BC285" s="27"/>
      <c r="BD285" s="26"/>
      <c r="BE285" s="27"/>
      <c r="BF285" s="26"/>
      <c r="BH285" s="26"/>
      <c r="BI285" s="26"/>
      <c r="BJ285" s="26"/>
      <c r="BK285" s="26"/>
    </row>
    <row r="286" spans="3:63" x14ac:dyDescent="0.2">
      <c r="C286" s="26"/>
      <c r="D286" s="26"/>
      <c r="E286" s="26"/>
      <c r="F286" s="26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V286" s="27"/>
      <c r="AW286" s="27"/>
      <c r="AX286" s="27"/>
      <c r="AY286" s="27"/>
      <c r="AZ286" s="27"/>
      <c r="BA286" s="27"/>
      <c r="BB286" s="26"/>
      <c r="BC286" s="27"/>
      <c r="BD286" s="26"/>
      <c r="BE286" s="27"/>
      <c r="BF286" s="26"/>
      <c r="BH286" s="26"/>
      <c r="BI286" s="26"/>
      <c r="BJ286" s="26"/>
      <c r="BK286" s="26"/>
    </row>
    <row r="287" spans="3:63" x14ac:dyDescent="0.2">
      <c r="C287" s="26"/>
      <c r="D287" s="26"/>
      <c r="E287" s="26"/>
      <c r="F287" s="26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7"/>
      <c r="AH287" s="27"/>
      <c r="AI287" s="27"/>
      <c r="AJ287" s="27"/>
      <c r="AK287" s="27"/>
      <c r="AL287" s="27"/>
      <c r="AM287" s="27"/>
      <c r="AN287" s="27"/>
      <c r="AO287" s="27"/>
      <c r="AP287" s="27"/>
      <c r="AQ287" s="27"/>
      <c r="AR287" s="27"/>
      <c r="AS287" s="27"/>
      <c r="AT287" s="27"/>
      <c r="AV287" s="27"/>
      <c r="AW287" s="27"/>
      <c r="AX287" s="27"/>
      <c r="AY287" s="27"/>
      <c r="AZ287" s="27"/>
      <c r="BA287" s="27"/>
      <c r="BB287" s="26"/>
      <c r="BC287" s="27"/>
      <c r="BD287" s="26"/>
      <c r="BE287" s="27"/>
      <c r="BF287" s="26"/>
      <c r="BH287" s="26"/>
      <c r="BI287" s="26"/>
      <c r="BJ287" s="26"/>
      <c r="BK287" s="26"/>
    </row>
    <row r="288" spans="3:63" x14ac:dyDescent="0.2">
      <c r="C288" s="26"/>
      <c r="D288" s="26"/>
      <c r="E288" s="26"/>
      <c r="F288" s="26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  <c r="AJ288" s="27"/>
      <c r="AK288" s="27"/>
      <c r="AL288" s="27"/>
      <c r="AM288" s="27"/>
      <c r="AN288" s="27"/>
      <c r="AO288" s="27"/>
      <c r="AP288" s="27"/>
      <c r="AQ288" s="27"/>
      <c r="AR288" s="27"/>
      <c r="AS288" s="27"/>
      <c r="AT288" s="27"/>
      <c r="AV288" s="27"/>
      <c r="AW288" s="27"/>
      <c r="AX288" s="27"/>
      <c r="AY288" s="27"/>
      <c r="AZ288" s="27"/>
      <c r="BA288" s="27"/>
      <c r="BB288" s="26"/>
      <c r="BC288" s="27"/>
      <c r="BD288" s="26"/>
      <c r="BE288" s="27"/>
      <c r="BF288" s="26"/>
      <c r="BH288" s="26"/>
      <c r="BI288" s="26"/>
      <c r="BJ288" s="26"/>
      <c r="BK288" s="26"/>
    </row>
    <row r="289" spans="3:63" x14ac:dyDescent="0.2">
      <c r="C289" s="26"/>
      <c r="D289" s="26"/>
      <c r="E289" s="26"/>
      <c r="F289" s="26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V289" s="27"/>
      <c r="AW289" s="27"/>
      <c r="AX289" s="27"/>
      <c r="AY289" s="27"/>
      <c r="AZ289" s="27"/>
      <c r="BA289" s="27"/>
      <c r="BB289" s="26"/>
      <c r="BC289" s="27"/>
      <c r="BD289" s="26"/>
      <c r="BE289" s="27"/>
      <c r="BF289" s="26"/>
      <c r="BH289" s="26"/>
      <c r="BI289" s="26"/>
      <c r="BJ289" s="26"/>
      <c r="BK289" s="26"/>
    </row>
    <row r="290" spans="3:63" x14ac:dyDescent="0.2">
      <c r="C290" s="26"/>
      <c r="D290" s="26"/>
      <c r="E290" s="26"/>
      <c r="F290" s="26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7"/>
      <c r="AH290" s="27"/>
      <c r="AI290" s="27"/>
      <c r="AJ290" s="27"/>
      <c r="AK290" s="27"/>
      <c r="AL290" s="27"/>
      <c r="AM290" s="27"/>
      <c r="AN290" s="27"/>
      <c r="AO290" s="27"/>
      <c r="AP290" s="27"/>
      <c r="AQ290" s="27"/>
      <c r="AR290" s="27"/>
      <c r="AS290" s="27"/>
      <c r="AT290" s="27"/>
      <c r="AV290" s="27"/>
      <c r="AW290" s="27"/>
      <c r="AX290" s="27"/>
      <c r="AY290" s="27"/>
      <c r="AZ290" s="27"/>
      <c r="BA290" s="27"/>
      <c r="BB290" s="26"/>
      <c r="BC290" s="27"/>
      <c r="BD290" s="26"/>
      <c r="BE290" s="27"/>
      <c r="BF290" s="26"/>
      <c r="BH290" s="26"/>
      <c r="BI290" s="26"/>
      <c r="BJ290" s="26"/>
      <c r="BK290" s="26"/>
    </row>
    <row r="291" spans="3:63" x14ac:dyDescent="0.2">
      <c r="C291" s="26"/>
      <c r="D291" s="26"/>
      <c r="E291" s="26"/>
      <c r="F291" s="26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V291" s="27"/>
      <c r="AW291" s="27"/>
      <c r="AX291" s="27"/>
      <c r="AY291" s="27"/>
      <c r="AZ291" s="27"/>
      <c r="BA291" s="27"/>
      <c r="BB291" s="26"/>
      <c r="BC291" s="27"/>
      <c r="BD291" s="26"/>
      <c r="BE291" s="27"/>
      <c r="BF291" s="26"/>
      <c r="BH291" s="26"/>
      <c r="BI291" s="26"/>
      <c r="BJ291" s="26"/>
      <c r="BK291" s="26"/>
    </row>
    <row r="292" spans="3:63" x14ac:dyDescent="0.2">
      <c r="C292" s="26"/>
      <c r="D292" s="26"/>
      <c r="E292" s="26"/>
      <c r="F292" s="26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V292" s="27"/>
      <c r="AW292" s="27"/>
      <c r="AX292" s="27"/>
      <c r="AY292" s="27"/>
      <c r="AZ292" s="27"/>
      <c r="BA292" s="27"/>
      <c r="BB292" s="26"/>
      <c r="BC292" s="27"/>
      <c r="BD292" s="26"/>
      <c r="BE292" s="27"/>
      <c r="BF292" s="26"/>
      <c r="BH292" s="26"/>
      <c r="BI292" s="26"/>
      <c r="BJ292" s="26"/>
      <c r="BK292" s="26"/>
    </row>
    <row r="293" spans="3:63" x14ac:dyDescent="0.2">
      <c r="C293" s="26"/>
      <c r="D293" s="26"/>
      <c r="E293" s="26"/>
      <c r="F293" s="26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V293" s="27"/>
      <c r="AW293" s="27"/>
      <c r="AX293" s="27"/>
      <c r="AY293" s="27"/>
      <c r="AZ293" s="27"/>
      <c r="BA293" s="27"/>
      <c r="BB293" s="26"/>
      <c r="BC293" s="27"/>
      <c r="BD293" s="26"/>
      <c r="BE293" s="27"/>
      <c r="BF293" s="26"/>
      <c r="BH293" s="26"/>
      <c r="BI293" s="26"/>
      <c r="BJ293" s="26"/>
      <c r="BK293" s="26"/>
    </row>
    <row r="294" spans="3:63" x14ac:dyDescent="0.2">
      <c r="C294" s="26"/>
      <c r="D294" s="26"/>
      <c r="E294" s="26"/>
      <c r="F294" s="26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V294" s="27"/>
      <c r="AW294" s="27"/>
      <c r="AX294" s="27"/>
      <c r="AY294" s="27"/>
      <c r="AZ294" s="27"/>
      <c r="BA294" s="27"/>
      <c r="BB294" s="26"/>
      <c r="BC294" s="27"/>
      <c r="BD294" s="26"/>
      <c r="BE294" s="27"/>
      <c r="BF294" s="26"/>
      <c r="BH294" s="26"/>
      <c r="BI294" s="26"/>
      <c r="BJ294" s="26"/>
      <c r="BK294" s="26"/>
    </row>
    <row r="295" spans="3:63" x14ac:dyDescent="0.2">
      <c r="C295" s="26"/>
      <c r="D295" s="26"/>
      <c r="E295" s="26"/>
      <c r="F295" s="26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7"/>
      <c r="AH295" s="27"/>
      <c r="AI295" s="27"/>
      <c r="AJ295" s="27"/>
      <c r="AK295" s="27"/>
      <c r="AL295" s="27"/>
      <c r="AM295" s="27"/>
      <c r="AN295" s="27"/>
      <c r="AO295" s="27"/>
      <c r="AP295" s="27"/>
      <c r="AQ295" s="27"/>
      <c r="AR295" s="27"/>
      <c r="AS295" s="27"/>
      <c r="AT295" s="27"/>
      <c r="AV295" s="27"/>
      <c r="AW295" s="27"/>
      <c r="AX295" s="27"/>
      <c r="AY295" s="27"/>
      <c r="AZ295" s="27"/>
      <c r="BA295" s="27"/>
      <c r="BB295" s="26"/>
      <c r="BC295" s="27"/>
      <c r="BD295" s="26"/>
      <c r="BE295" s="27"/>
      <c r="BF295" s="26"/>
      <c r="BH295" s="26"/>
      <c r="BI295" s="26"/>
      <c r="BJ295" s="26"/>
      <c r="BK295" s="26"/>
    </row>
    <row r="296" spans="3:63" x14ac:dyDescent="0.2">
      <c r="C296" s="26"/>
      <c r="D296" s="26"/>
      <c r="E296" s="26"/>
      <c r="F296" s="26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V296" s="27"/>
      <c r="AW296" s="27"/>
      <c r="AX296" s="27"/>
      <c r="AY296" s="27"/>
      <c r="AZ296" s="27"/>
      <c r="BA296" s="27"/>
      <c r="BB296" s="26"/>
      <c r="BC296" s="27"/>
      <c r="BD296" s="26"/>
      <c r="BE296" s="27"/>
      <c r="BF296" s="26"/>
      <c r="BH296" s="26"/>
      <c r="BI296" s="26"/>
      <c r="BJ296" s="26"/>
      <c r="BK296" s="26"/>
    </row>
    <row r="297" spans="3:63" x14ac:dyDescent="0.2">
      <c r="C297" s="26"/>
      <c r="D297" s="26"/>
      <c r="E297" s="26"/>
      <c r="F297" s="26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V297" s="27"/>
      <c r="AW297" s="27"/>
      <c r="AX297" s="27"/>
      <c r="AY297" s="27"/>
      <c r="AZ297" s="27"/>
      <c r="BA297" s="27"/>
      <c r="BB297" s="26"/>
      <c r="BC297" s="27"/>
      <c r="BD297" s="26"/>
      <c r="BE297" s="27"/>
      <c r="BF297" s="26"/>
      <c r="BH297" s="26"/>
      <c r="BI297" s="26"/>
      <c r="BJ297" s="26"/>
      <c r="BK297" s="26"/>
    </row>
    <row r="298" spans="3:63" x14ac:dyDescent="0.2">
      <c r="C298" s="26"/>
      <c r="D298" s="26"/>
      <c r="E298" s="26"/>
      <c r="F298" s="26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7"/>
      <c r="AH298" s="27"/>
      <c r="AI298" s="27"/>
      <c r="AJ298" s="27"/>
      <c r="AK298" s="27"/>
      <c r="AL298" s="27"/>
      <c r="AM298" s="27"/>
      <c r="AN298" s="27"/>
      <c r="AO298" s="27"/>
      <c r="AP298" s="27"/>
      <c r="AQ298" s="27"/>
      <c r="AR298" s="27"/>
      <c r="AS298" s="27"/>
      <c r="AT298" s="27"/>
      <c r="AV298" s="27"/>
      <c r="AW298" s="27"/>
      <c r="AX298" s="27"/>
      <c r="AY298" s="27"/>
      <c r="AZ298" s="27"/>
      <c r="BA298" s="27"/>
      <c r="BB298" s="26"/>
      <c r="BC298" s="27"/>
      <c r="BD298" s="26"/>
      <c r="BE298" s="27"/>
      <c r="BF298" s="26"/>
      <c r="BH298" s="26"/>
      <c r="BI298" s="26"/>
      <c r="BJ298" s="26"/>
      <c r="BK298" s="26"/>
    </row>
    <row r="299" spans="3:63" x14ac:dyDescent="0.2">
      <c r="C299" s="26"/>
      <c r="D299" s="26"/>
      <c r="E299" s="26"/>
      <c r="F299" s="26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V299" s="27"/>
      <c r="AW299" s="27"/>
      <c r="AX299" s="27"/>
      <c r="AY299" s="27"/>
      <c r="AZ299" s="27"/>
      <c r="BA299" s="27"/>
      <c r="BB299" s="26"/>
      <c r="BC299" s="27"/>
      <c r="BD299" s="26"/>
      <c r="BE299" s="27"/>
      <c r="BF299" s="26"/>
      <c r="BH299" s="26"/>
      <c r="BI299" s="26"/>
      <c r="BJ299" s="26"/>
      <c r="BK299" s="26"/>
    </row>
    <row r="300" spans="3:63" x14ac:dyDescent="0.2">
      <c r="C300" s="26"/>
      <c r="D300" s="26"/>
      <c r="E300" s="26"/>
      <c r="F300" s="26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  <c r="AJ300" s="27"/>
      <c r="AK300" s="27"/>
      <c r="AL300" s="27"/>
      <c r="AM300" s="27"/>
      <c r="AN300" s="27"/>
      <c r="AO300" s="27"/>
      <c r="AP300" s="27"/>
      <c r="AQ300" s="27"/>
      <c r="AR300" s="27"/>
      <c r="AS300" s="27"/>
      <c r="AT300" s="27"/>
      <c r="AV300" s="27"/>
      <c r="AW300" s="27"/>
      <c r="AX300" s="27"/>
      <c r="AY300" s="27"/>
      <c r="AZ300" s="27"/>
      <c r="BA300" s="27"/>
      <c r="BB300" s="26"/>
      <c r="BC300" s="27"/>
      <c r="BD300" s="26"/>
      <c r="BE300" s="27"/>
      <c r="BF300" s="26"/>
      <c r="BH300" s="26"/>
      <c r="BI300" s="26"/>
      <c r="BJ300" s="26"/>
      <c r="BK300" s="26"/>
    </row>
    <row r="301" spans="3:63" x14ac:dyDescent="0.2">
      <c r="C301" s="26"/>
      <c r="D301" s="26"/>
      <c r="E301" s="26"/>
      <c r="F301" s="26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7"/>
      <c r="AH301" s="27"/>
      <c r="AI301" s="27"/>
      <c r="AJ301" s="27"/>
      <c r="AK301" s="27"/>
      <c r="AL301" s="27"/>
      <c r="AM301" s="27"/>
      <c r="AN301" s="27"/>
      <c r="AO301" s="27"/>
      <c r="AP301" s="27"/>
      <c r="AQ301" s="27"/>
      <c r="AR301" s="27"/>
      <c r="AS301" s="27"/>
      <c r="AT301" s="27"/>
      <c r="AV301" s="27"/>
      <c r="AW301" s="27"/>
      <c r="AX301" s="27"/>
      <c r="AY301" s="27"/>
      <c r="AZ301" s="27"/>
      <c r="BA301" s="27"/>
      <c r="BB301" s="26"/>
      <c r="BC301" s="27"/>
      <c r="BD301" s="26"/>
      <c r="BE301" s="27"/>
      <c r="BF301" s="26"/>
      <c r="BH301" s="26"/>
      <c r="BI301" s="26"/>
      <c r="BJ301" s="26"/>
      <c r="BK301" s="26"/>
    </row>
    <row r="302" spans="3:63" x14ac:dyDescent="0.2">
      <c r="C302" s="26"/>
      <c r="D302" s="26"/>
      <c r="E302" s="26"/>
      <c r="F302" s="26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V302" s="27"/>
      <c r="AW302" s="27"/>
      <c r="AX302" s="27"/>
      <c r="AY302" s="27"/>
      <c r="AZ302" s="27"/>
      <c r="BA302" s="27"/>
      <c r="BB302" s="26"/>
      <c r="BC302" s="27"/>
      <c r="BD302" s="26"/>
      <c r="BE302" s="27"/>
      <c r="BF302" s="26"/>
      <c r="BH302" s="26"/>
      <c r="BI302" s="26"/>
      <c r="BJ302" s="26"/>
      <c r="BK302" s="26"/>
    </row>
    <row r="303" spans="3:63" x14ac:dyDescent="0.2">
      <c r="C303" s="26"/>
      <c r="D303" s="26"/>
      <c r="E303" s="26"/>
      <c r="F303" s="26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V303" s="27"/>
      <c r="AW303" s="27"/>
      <c r="AX303" s="27"/>
      <c r="AY303" s="27"/>
      <c r="AZ303" s="27"/>
      <c r="BA303" s="27"/>
      <c r="BB303" s="26"/>
      <c r="BC303" s="27"/>
      <c r="BD303" s="26"/>
      <c r="BE303" s="27"/>
      <c r="BF303" s="26"/>
      <c r="BH303" s="26"/>
      <c r="BI303" s="26"/>
      <c r="BJ303" s="26"/>
      <c r="BK303" s="26"/>
    </row>
    <row r="304" spans="3:63" x14ac:dyDescent="0.2">
      <c r="C304" s="26"/>
      <c r="D304" s="26"/>
      <c r="E304" s="26"/>
      <c r="F304" s="26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V304" s="27"/>
      <c r="AW304" s="27"/>
      <c r="AX304" s="27"/>
      <c r="AY304" s="27"/>
      <c r="AZ304" s="27"/>
      <c r="BA304" s="27"/>
      <c r="BB304" s="26"/>
      <c r="BC304" s="27"/>
      <c r="BD304" s="26"/>
      <c r="BE304" s="27"/>
      <c r="BF304" s="26"/>
      <c r="BH304" s="26"/>
      <c r="BI304" s="26"/>
      <c r="BJ304" s="26"/>
      <c r="BK304" s="26"/>
    </row>
    <row r="305" spans="3:63" x14ac:dyDescent="0.2">
      <c r="C305" s="26"/>
      <c r="D305" s="26"/>
      <c r="E305" s="26"/>
      <c r="F305" s="26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V305" s="27"/>
      <c r="AW305" s="27"/>
      <c r="AX305" s="27"/>
      <c r="AY305" s="27"/>
      <c r="AZ305" s="27"/>
      <c r="BA305" s="27"/>
      <c r="BB305" s="26"/>
      <c r="BC305" s="27"/>
      <c r="BD305" s="26"/>
      <c r="BE305" s="27"/>
      <c r="BF305" s="26"/>
      <c r="BH305" s="26"/>
      <c r="BI305" s="26"/>
      <c r="BJ305" s="26"/>
      <c r="BK305" s="26"/>
    </row>
    <row r="306" spans="3:63" x14ac:dyDescent="0.2">
      <c r="C306" s="26"/>
      <c r="D306" s="26"/>
      <c r="E306" s="26"/>
      <c r="F306" s="26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V306" s="27"/>
      <c r="AW306" s="27"/>
      <c r="AX306" s="27"/>
      <c r="AY306" s="27"/>
      <c r="AZ306" s="27"/>
      <c r="BA306" s="27"/>
      <c r="BB306" s="26"/>
      <c r="BC306" s="27"/>
      <c r="BD306" s="26"/>
      <c r="BE306" s="27"/>
      <c r="BF306" s="26"/>
      <c r="BH306" s="26"/>
      <c r="BI306" s="26"/>
      <c r="BJ306" s="26"/>
      <c r="BK306" s="26"/>
    </row>
    <row r="307" spans="3:63" x14ac:dyDescent="0.2">
      <c r="C307" s="26"/>
      <c r="D307" s="26"/>
      <c r="E307" s="26"/>
      <c r="F307" s="26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7"/>
      <c r="AH307" s="27"/>
      <c r="AI307" s="27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V307" s="27"/>
      <c r="AW307" s="27"/>
      <c r="AX307" s="27"/>
      <c r="AY307" s="27"/>
      <c r="AZ307" s="27"/>
      <c r="BA307" s="27"/>
      <c r="BB307" s="26"/>
      <c r="BC307" s="27"/>
      <c r="BD307" s="26"/>
      <c r="BE307" s="27"/>
      <c r="BF307" s="26"/>
      <c r="BH307" s="26"/>
      <c r="BI307" s="26"/>
      <c r="BJ307" s="26"/>
      <c r="BK307" s="26"/>
    </row>
    <row r="308" spans="3:63" x14ac:dyDescent="0.2">
      <c r="C308" s="26"/>
      <c r="D308" s="26"/>
      <c r="E308" s="26"/>
      <c r="F308" s="26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  <c r="AJ308" s="27"/>
      <c r="AK308" s="27"/>
      <c r="AL308" s="27"/>
      <c r="AM308" s="27"/>
      <c r="AN308" s="27"/>
      <c r="AO308" s="27"/>
      <c r="AP308" s="27"/>
      <c r="AQ308" s="27"/>
      <c r="AR308" s="27"/>
      <c r="AS308" s="27"/>
      <c r="AT308" s="27"/>
      <c r="AV308" s="27"/>
      <c r="AW308" s="27"/>
      <c r="AX308" s="27"/>
      <c r="AY308" s="27"/>
      <c r="AZ308" s="27"/>
      <c r="BA308" s="27"/>
      <c r="BB308" s="26"/>
      <c r="BC308" s="27"/>
      <c r="BD308" s="26"/>
      <c r="BE308" s="27"/>
      <c r="BF308" s="26"/>
      <c r="BH308" s="26"/>
      <c r="BI308" s="26"/>
      <c r="BJ308" s="26"/>
      <c r="BK308" s="26"/>
    </row>
    <row r="309" spans="3:63" x14ac:dyDescent="0.2">
      <c r="C309" s="26"/>
      <c r="D309" s="26"/>
      <c r="E309" s="26"/>
      <c r="F309" s="26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V309" s="27"/>
      <c r="AW309" s="27"/>
      <c r="AX309" s="27"/>
      <c r="AY309" s="27"/>
      <c r="AZ309" s="27"/>
      <c r="BA309" s="27"/>
      <c r="BB309" s="26"/>
      <c r="BC309" s="27"/>
      <c r="BD309" s="26"/>
      <c r="BE309" s="27"/>
      <c r="BF309" s="26"/>
      <c r="BH309" s="26"/>
      <c r="BI309" s="26"/>
      <c r="BJ309" s="26"/>
      <c r="BK309" s="26"/>
    </row>
    <row r="310" spans="3:63" x14ac:dyDescent="0.2">
      <c r="C310" s="26"/>
      <c r="D310" s="26"/>
      <c r="E310" s="26"/>
      <c r="F310" s="26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7"/>
      <c r="AH310" s="27"/>
      <c r="AI310" s="27"/>
      <c r="AJ310" s="27"/>
      <c r="AK310" s="27"/>
      <c r="AL310" s="27"/>
      <c r="AM310" s="27"/>
      <c r="AN310" s="27"/>
      <c r="AO310" s="27"/>
      <c r="AP310" s="27"/>
      <c r="AQ310" s="27"/>
      <c r="AR310" s="27"/>
      <c r="AS310" s="27"/>
      <c r="AT310" s="27"/>
      <c r="AV310" s="27"/>
      <c r="AW310" s="27"/>
      <c r="AX310" s="27"/>
      <c r="AY310" s="27"/>
      <c r="AZ310" s="27"/>
      <c r="BA310" s="27"/>
      <c r="BB310" s="26"/>
      <c r="BC310" s="27"/>
      <c r="BD310" s="26"/>
      <c r="BE310" s="27"/>
      <c r="BF310" s="26"/>
      <c r="BH310" s="26"/>
      <c r="BI310" s="26"/>
      <c r="BJ310" s="26"/>
      <c r="BK310" s="26"/>
    </row>
    <row r="311" spans="3:63" x14ac:dyDescent="0.2">
      <c r="C311" s="26"/>
      <c r="D311" s="26"/>
      <c r="E311" s="26"/>
      <c r="F311" s="26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7"/>
      <c r="AH311" s="27"/>
      <c r="AI311" s="27"/>
      <c r="AJ311" s="27"/>
      <c r="AK311" s="27"/>
      <c r="AL311" s="27"/>
      <c r="AM311" s="27"/>
      <c r="AN311" s="27"/>
      <c r="AO311" s="27"/>
      <c r="AP311" s="27"/>
      <c r="AQ311" s="27"/>
      <c r="AR311" s="27"/>
      <c r="AS311" s="27"/>
      <c r="AT311" s="27"/>
      <c r="AV311" s="27"/>
      <c r="AW311" s="27"/>
      <c r="AX311" s="27"/>
      <c r="AY311" s="27"/>
      <c r="AZ311" s="27"/>
      <c r="BA311" s="27"/>
      <c r="BB311" s="26"/>
      <c r="BC311" s="27"/>
      <c r="BD311" s="26"/>
      <c r="BE311" s="27"/>
      <c r="BF311" s="26"/>
      <c r="BH311" s="26"/>
      <c r="BI311" s="26"/>
      <c r="BJ311" s="26"/>
      <c r="BK311" s="26"/>
    </row>
    <row r="312" spans="3:63" x14ac:dyDescent="0.2">
      <c r="C312" s="26"/>
      <c r="D312" s="26"/>
      <c r="E312" s="26"/>
      <c r="F312" s="26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7"/>
      <c r="AH312" s="27"/>
      <c r="AI312" s="27"/>
      <c r="AJ312" s="27"/>
      <c r="AK312" s="27"/>
      <c r="AL312" s="27"/>
      <c r="AM312" s="27"/>
      <c r="AN312" s="27"/>
      <c r="AO312" s="27"/>
      <c r="AP312" s="27"/>
      <c r="AQ312" s="27"/>
      <c r="AR312" s="27"/>
      <c r="AS312" s="27"/>
      <c r="AT312" s="27"/>
      <c r="AV312" s="27"/>
      <c r="AW312" s="27"/>
      <c r="AX312" s="27"/>
      <c r="AY312" s="27"/>
      <c r="AZ312" s="27"/>
      <c r="BA312" s="27"/>
      <c r="BB312" s="26"/>
      <c r="BC312" s="27"/>
      <c r="BD312" s="26"/>
      <c r="BE312" s="27"/>
      <c r="BF312" s="26"/>
      <c r="BH312" s="26"/>
      <c r="BI312" s="26"/>
      <c r="BJ312" s="26"/>
      <c r="BK312" s="26"/>
    </row>
    <row r="313" spans="3:63" x14ac:dyDescent="0.2">
      <c r="C313" s="26"/>
      <c r="D313" s="26"/>
      <c r="E313" s="26"/>
      <c r="F313" s="26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7"/>
      <c r="AH313" s="27"/>
      <c r="AI313" s="27"/>
      <c r="AJ313" s="27"/>
      <c r="AK313" s="27"/>
      <c r="AL313" s="27"/>
      <c r="AM313" s="27"/>
      <c r="AN313" s="27"/>
      <c r="AO313" s="27"/>
      <c r="AP313" s="27"/>
      <c r="AQ313" s="27"/>
      <c r="AR313" s="27"/>
      <c r="AS313" s="27"/>
      <c r="AT313" s="27"/>
      <c r="AV313" s="27"/>
      <c r="AW313" s="27"/>
      <c r="AX313" s="27"/>
      <c r="AY313" s="27"/>
      <c r="AZ313" s="27"/>
      <c r="BA313" s="27"/>
      <c r="BB313" s="26"/>
      <c r="BC313" s="27"/>
      <c r="BD313" s="26"/>
      <c r="BE313" s="27"/>
      <c r="BF313" s="26"/>
      <c r="BH313" s="26"/>
      <c r="BI313" s="26"/>
      <c r="BJ313" s="26"/>
      <c r="BK313" s="26"/>
    </row>
    <row r="314" spans="3:63" x14ac:dyDescent="0.2">
      <c r="C314" s="26"/>
      <c r="D314" s="26"/>
      <c r="E314" s="26"/>
      <c r="F314" s="26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27"/>
      <c r="AL314" s="27"/>
      <c r="AM314" s="27"/>
      <c r="AN314" s="27"/>
      <c r="AO314" s="27"/>
      <c r="AP314" s="27"/>
      <c r="AQ314" s="27"/>
      <c r="AR314" s="27"/>
      <c r="AS314" s="27"/>
      <c r="AT314" s="27"/>
      <c r="AV314" s="27"/>
      <c r="AW314" s="27"/>
      <c r="AX314" s="27"/>
      <c r="AY314" s="27"/>
      <c r="AZ314" s="27"/>
      <c r="BA314" s="27"/>
      <c r="BB314" s="26"/>
      <c r="BC314" s="27"/>
      <c r="BD314" s="26"/>
      <c r="BE314" s="27"/>
      <c r="BF314" s="26"/>
      <c r="BH314" s="26"/>
      <c r="BI314" s="26"/>
      <c r="BJ314" s="26"/>
      <c r="BK314" s="26"/>
    </row>
    <row r="315" spans="3:63" x14ac:dyDescent="0.2">
      <c r="C315" s="26"/>
      <c r="D315" s="26"/>
      <c r="E315" s="26"/>
      <c r="F315" s="26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7"/>
      <c r="AH315" s="27"/>
      <c r="AI315" s="27"/>
      <c r="AJ315" s="27"/>
      <c r="AK315" s="27"/>
      <c r="AL315" s="27"/>
      <c r="AM315" s="27"/>
      <c r="AN315" s="27"/>
      <c r="AO315" s="27"/>
      <c r="AP315" s="27"/>
      <c r="AQ315" s="27"/>
      <c r="AR315" s="27"/>
      <c r="AS315" s="27"/>
      <c r="AT315" s="27"/>
      <c r="AV315" s="27"/>
      <c r="AW315" s="27"/>
      <c r="AX315" s="27"/>
      <c r="AY315" s="27"/>
      <c r="AZ315" s="27"/>
      <c r="BA315" s="27"/>
      <c r="BB315" s="26"/>
      <c r="BC315" s="27"/>
      <c r="BD315" s="26"/>
      <c r="BE315" s="27"/>
      <c r="BF315" s="26"/>
      <c r="BH315" s="26"/>
      <c r="BI315" s="26"/>
      <c r="BJ315" s="26"/>
      <c r="BK315" s="26"/>
    </row>
    <row r="316" spans="3:63" x14ac:dyDescent="0.2">
      <c r="C316" s="26"/>
      <c r="D316" s="26"/>
      <c r="E316" s="26"/>
      <c r="F316" s="26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7"/>
      <c r="AH316" s="27"/>
      <c r="AI316" s="27"/>
      <c r="AJ316" s="27"/>
      <c r="AK316" s="27"/>
      <c r="AL316" s="27"/>
      <c r="AM316" s="27"/>
      <c r="AN316" s="27"/>
      <c r="AO316" s="27"/>
      <c r="AP316" s="27"/>
      <c r="AQ316" s="27"/>
      <c r="AR316" s="27"/>
      <c r="AS316" s="27"/>
      <c r="AT316" s="27"/>
      <c r="AV316" s="27"/>
      <c r="AW316" s="27"/>
      <c r="AX316" s="27"/>
      <c r="AY316" s="27"/>
      <c r="AZ316" s="27"/>
      <c r="BA316" s="27"/>
      <c r="BB316" s="26"/>
      <c r="BC316" s="27"/>
      <c r="BD316" s="26"/>
      <c r="BE316" s="27"/>
      <c r="BF316" s="26"/>
      <c r="BH316" s="26"/>
      <c r="BI316" s="26"/>
      <c r="BJ316" s="26"/>
      <c r="BK316" s="26"/>
    </row>
    <row r="317" spans="3:63" x14ac:dyDescent="0.2">
      <c r="C317" s="26"/>
      <c r="D317" s="26"/>
      <c r="E317" s="26"/>
      <c r="F317" s="26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  <c r="AJ317" s="27"/>
      <c r="AK317" s="27"/>
      <c r="AL317" s="27"/>
      <c r="AM317" s="27"/>
      <c r="AN317" s="27"/>
      <c r="AO317" s="27"/>
      <c r="AP317" s="27"/>
      <c r="AQ317" s="27"/>
      <c r="AR317" s="27"/>
      <c r="AS317" s="27"/>
      <c r="AT317" s="27"/>
      <c r="AV317" s="27"/>
      <c r="AW317" s="27"/>
      <c r="AX317" s="27"/>
      <c r="AY317" s="27"/>
      <c r="AZ317" s="27"/>
      <c r="BA317" s="27"/>
      <c r="BB317" s="26"/>
      <c r="BC317" s="27"/>
      <c r="BD317" s="26"/>
      <c r="BE317" s="27"/>
      <c r="BF317" s="26"/>
      <c r="BH317" s="26"/>
      <c r="BI317" s="26"/>
      <c r="BJ317" s="26"/>
      <c r="BK317" s="26"/>
    </row>
    <row r="318" spans="3:63" x14ac:dyDescent="0.2">
      <c r="C318" s="26"/>
      <c r="D318" s="26"/>
      <c r="E318" s="26"/>
      <c r="F318" s="26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7"/>
      <c r="AH318" s="27"/>
      <c r="AI318" s="27"/>
      <c r="AJ318" s="27"/>
      <c r="AK318" s="27"/>
      <c r="AL318" s="27"/>
      <c r="AM318" s="27"/>
      <c r="AN318" s="27"/>
      <c r="AO318" s="27"/>
      <c r="AP318" s="27"/>
      <c r="AQ318" s="27"/>
      <c r="AR318" s="27"/>
      <c r="AS318" s="27"/>
      <c r="AT318" s="27"/>
      <c r="AV318" s="27"/>
      <c r="AW318" s="27"/>
      <c r="AX318" s="27"/>
      <c r="AY318" s="27"/>
      <c r="AZ318" s="27"/>
      <c r="BA318" s="27"/>
      <c r="BB318" s="26"/>
      <c r="BC318" s="27"/>
      <c r="BD318" s="26"/>
      <c r="BE318" s="27"/>
      <c r="BF318" s="26"/>
      <c r="BH318" s="26"/>
      <c r="BI318" s="26"/>
      <c r="BJ318" s="26"/>
      <c r="BK318" s="26"/>
    </row>
    <row r="319" spans="3:63" x14ac:dyDescent="0.2">
      <c r="C319" s="26"/>
      <c r="D319" s="26"/>
      <c r="E319" s="26"/>
      <c r="F319" s="26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7"/>
      <c r="AH319" s="27"/>
      <c r="AI319" s="27"/>
      <c r="AJ319" s="27"/>
      <c r="AK319" s="27"/>
      <c r="AL319" s="27"/>
      <c r="AM319" s="27"/>
      <c r="AN319" s="27"/>
      <c r="AO319" s="27"/>
      <c r="AP319" s="27"/>
      <c r="AQ319" s="27"/>
      <c r="AR319" s="27"/>
      <c r="AS319" s="27"/>
      <c r="AT319" s="27"/>
      <c r="AV319" s="27"/>
      <c r="AW319" s="27"/>
      <c r="AX319" s="27"/>
      <c r="AY319" s="27"/>
      <c r="AZ319" s="27"/>
      <c r="BA319" s="27"/>
      <c r="BB319" s="26"/>
      <c r="BC319" s="27"/>
      <c r="BD319" s="26"/>
      <c r="BE319" s="27"/>
      <c r="BF319" s="26"/>
      <c r="BH319" s="26"/>
      <c r="BI319" s="26"/>
      <c r="BJ319" s="26"/>
      <c r="BK319" s="26"/>
    </row>
    <row r="320" spans="3:63" x14ac:dyDescent="0.2">
      <c r="C320" s="26"/>
      <c r="D320" s="26"/>
      <c r="E320" s="26"/>
      <c r="F320" s="26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  <c r="AJ320" s="27"/>
      <c r="AK320" s="27"/>
      <c r="AL320" s="27"/>
      <c r="AM320" s="27"/>
      <c r="AN320" s="27"/>
      <c r="AO320" s="27"/>
      <c r="AP320" s="27"/>
      <c r="AQ320" s="27"/>
      <c r="AR320" s="27"/>
      <c r="AS320" s="27"/>
      <c r="AT320" s="27"/>
      <c r="AV320" s="27"/>
      <c r="AW320" s="27"/>
      <c r="AX320" s="27"/>
      <c r="AY320" s="27"/>
      <c r="AZ320" s="27"/>
      <c r="BA320" s="27"/>
      <c r="BB320" s="26"/>
      <c r="BC320" s="27"/>
      <c r="BD320" s="26"/>
      <c r="BE320" s="27"/>
      <c r="BF320" s="26"/>
      <c r="BH320" s="26"/>
      <c r="BI320" s="26"/>
      <c r="BJ320" s="26"/>
      <c r="BK320" s="26"/>
    </row>
    <row r="321" spans="3:63" x14ac:dyDescent="0.2">
      <c r="C321" s="26"/>
      <c r="D321" s="26"/>
      <c r="E321" s="26"/>
      <c r="F321" s="26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7"/>
      <c r="AH321" s="27"/>
      <c r="AI321" s="27"/>
      <c r="AJ321" s="27"/>
      <c r="AK321" s="27"/>
      <c r="AL321" s="27"/>
      <c r="AM321" s="27"/>
      <c r="AN321" s="27"/>
      <c r="AO321" s="27"/>
      <c r="AP321" s="27"/>
      <c r="AQ321" s="27"/>
      <c r="AR321" s="27"/>
      <c r="AS321" s="27"/>
      <c r="AT321" s="27"/>
      <c r="AV321" s="27"/>
      <c r="AW321" s="27"/>
      <c r="AX321" s="27"/>
      <c r="AY321" s="27"/>
      <c r="AZ321" s="27"/>
      <c r="BA321" s="27"/>
      <c r="BB321" s="26"/>
      <c r="BC321" s="27"/>
      <c r="BD321" s="26"/>
      <c r="BE321" s="27"/>
      <c r="BF321" s="26"/>
      <c r="BH321" s="26"/>
      <c r="BI321" s="26"/>
      <c r="BJ321" s="26"/>
      <c r="BK321" s="26"/>
    </row>
    <row r="322" spans="3:63" x14ac:dyDescent="0.2">
      <c r="C322" s="26"/>
      <c r="D322" s="26"/>
      <c r="E322" s="26"/>
      <c r="F322" s="26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7"/>
      <c r="AH322" s="27"/>
      <c r="AI322" s="27"/>
      <c r="AJ322" s="27"/>
      <c r="AK322" s="27"/>
      <c r="AL322" s="27"/>
      <c r="AM322" s="27"/>
      <c r="AN322" s="27"/>
      <c r="AO322" s="27"/>
      <c r="AP322" s="27"/>
      <c r="AQ322" s="27"/>
      <c r="AR322" s="27"/>
      <c r="AS322" s="27"/>
      <c r="AT322" s="27"/>
      <c r="AV322" s="27"/>
      <c r="AW322" s="27"/>
      <c r="AX322" s="27"/>
      <c r="AY322" s="27"/>
      <c r="AZ322" s="27"/>
      <c r="BA322" s="27"/>
      <c r="BB322" s="26"/>
      <c r="BC322" s="27"/>
      <c r="BD322" s="26"/>
      <c r="BE322" s="27"/>
      <c r="BF322" s="26"/>
      <c r="BH322" s="26"/>
      <c r="BI322" s="26"/>
      <c r="BJ322" s="26"/>
      <c r="BK322" s="26"/>
    </row>
    <row r="323" spans="3:63" x14ac:dyDescent="0.2">
      <c r="C323" s="26"/>
      <c r="D323" s="26"/>
      <c r="E323" s="26"/>
      <c r="F323" s="26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7"/>
      <c r="AH323" s="27"/>
      <c r="AI323" s="27"/>
      <c r="AJ323" s="27"/>
      <c r="AK323" s="27"/>
      <c r="AL323" s="27"/>
      <c r="AM323" s="27"/>
      <c r="AN323" s="27"/>
      <c r="AO323" s="27"/>
      <c r="AP323" s="27"/>
      <c r="AQ323" s="27"/>
      <c r="AR323" s="27"/>
      <c r="AS323" s="27"/>
      <c r="AT323" s="27"/>
      <c r="AV323" s="27"/>
      <c r="AW323" s="27"/>
      <c r="AX323" s="27"/>
      <c r="AY323" s="27"/>
      <c r="AZ323" s="27"/>
      <c r="BA323" s="27"/>
      <c r="BB323" s="26"/>
      <c r="BC323" s="27"/>
      <c r="BD323" s="26"/>
      <c r="BE323" s="27"/>
      <c r="BF323" s="26"/>
      <c r="BH323" s="26"/>
      <c r="BI323" s="26"/>
      <c r="BJ323" s="26"/>
      <c r="BK323" s="26"/>
    </row>
    <row r="324" spans="3:63" x14ac:dyDescent="0.2">
      <c r="C324" s="26"/>
      <c r="D324" s="26"/>
      <c r="E324" s="26"/>
      <c r="F324" s="26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7"/>
      <c r="AH324" s="27"/>
      <c r="AI324" s="27"/>
      <c r="AJ324" s="27"/>
      <c r="AK324" s="27"/>
      <c r="AL324" s="27"/>
      <c r="AM324" s="27"/>
      <c r="AN324" s="27"/>
      <c r="AO324" s="27"/>
      <c r="AP324" s="27"/>
      <c r="AQ324" s="27"/>
      <c r="AR324" s="27"/>
      <c r="AS324" s="27"/>
      <c r="AT324" s="27"/>
      <c r="AV324" s="27"/>
      <c r="AW324" s="27"/>
      <c r="AX324" s="27"/>
      <c r="AY324" s="27"/>
      <c r="AZ324" s="27"/>
      <c r="BA324" s="27"/>
      <c r="BB324" s="26"/>
      <c r="BC324" s="27"/>
      <c r="BD324" s="26"/>
      <c r="BE324" s="27"/>
      <c r="BF324" s="26"/>
      <c r="BH324" s="26"/>
      <c r="BI324" s="26"/>
      <c r="BJ324" s="26"/>
      <c r="BK324" s="26"/>
    </row>
    <row r="325" spans="3:63" x14ac:dyDescent="0.2">
      <c r="C325" s="26"/>
      <c r="D325" s="26"/>
      <c r="E325" s="26"/>
      <c r="F325" s="26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7"/>
      <c r="AH325" s="27"/>
      <c r="AI325" s="27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V325" s="27"/>
      <c r="AW325" s="27"/>
      <c r="AX325" s="27"/>
      <c r="AY325" s="27"/>
      <c r="AZ325" s="27"/>
      <c r="BA325" s="27"/>
      <c r="BB325" s="26"/>
      <c r="BC325" s="27"/>
      <c r="BD325" s="26"/>
      <c r="BE325" s="27"/>
      <c r="BF325" s="26"/>
      <c r="BH325" s="26"/>
      <c r="BI325" s="26"/>
      <c r="BJ325" s="26"/>
      <c r="BK325" s="26"/>
    </row>
    <row r="326" spans="3:63" x14ac:dyDescent="0.2">
      <c r="C326" s="26"/>
      <c r="D326" s="26"/>
      <c r="E326" s="26"/>
      <c r="F326" s="26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27"/>
      <c r="AH326" s="27"/>
      <c r="AI326" s="27"/>
      <c r="AJ326" s="27"/>
      <c r="AK326" s="27"/>
      <c r="AL326" s="27"/>
      <c r="AM326" s="27"/>
      <c r="AN326" s="27"/>
      <c r="AO326" s="27"/>
      <c r="AP326" s="27"/>
      <c r="AQ326" s="27"/>
      <c r="AR326" s="27"/>
      <c r="AS326" s="27"/>
      <c r="AT326" s="27"/>
      <c r="AV326" s="27"/>
      <c r="AW326" s="27"/>
      <c r="AX326" s="27"/>
      <c r="AY326" s="27"/>
      <c r="AZ326" s="27"/>
      <c r="BA326" s="27"/>
      <c r="BB326" s="26"/>
      <c r="BC326" s="27"/>
      <c r="BD326" s="26"/>
      <c r="BE326" s="27"/>
      <c r="BF326" s="26"/>
      <c r="BH326" s="26"/>
      <c r="BI326" s="26"/>
      <c r="BJ326" s="26"/>
      <c r="BK326" s="26"/>
    </row>
    <row r="327" spans="3:63" x14ac:dyDescent="0.2">
      <c r="C327" s="26"/>
      <c r="D327" s="26"/>
      <c r="E327" s="26"/>
      <c r="F327" s="26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7"/>
      <c r="AL327" s="27"/>
      <c r="AM327" s="27"/>
      <c r="AN327" s="27"/>
      <c r="AO327" s="27"/>
      <c r="AP327" s="27"/>
      <c r="AQ327" s="27"/>
      <c r="AR327" s="27"/>
      <c r="AS327" s="27"/>
      <c r="AT327" s="27"/>
      <c r="AV327" s="27"/>
      <c r="AW327" s="27"/>
      <c r="AX327" s="27"/>
      <c r="AY327" s="27"/>
      <c r="AZ327" s="27"/>
      <c r="BA327" s="27"/>
      <c r="BB327" s="26"/>
      <c r="BC327" s="27"/>
      <c r="BD327" s="26"/>
      <c r="BE327" s="27"/>
      <c r="BF327" s="26"/>
      <c r="BH327" s="26"/>
      <c r="BI327" s="26"/>
      <c r="BJ327" s="26"/>
      <c r="BK327" s="26"/>
    </row>
    <row r="328" spans="3:63" x14ac:dyDescent="0.2">
      <c r="C328" s="26"/>
      <c r="D328" s="26"/>
      <c r="E328" s="26"/>
      <c r="F328" s="26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7"/>
      <c r="AH328" s="27"/>
      <c r="AI328" s="27"/>
      <c r="AJ328" s="27"/>
      <c r="AK328" s="27"/>
      <c r="AL328" s="27"/>
      <c r="AM328" s="27"/>
      <c r="AN328" s="27"/>
      <c r="AO328" s="27"/>
      <c r="AP328" s="27"/>
      <c r="AQ328" s="27"/>
      <c r="AR328" s="27"/>
      <c r="AS328" s="27"/>
      <c r="AT328" s="27"/>
      <c r="AV328" s="27"/>
      <c r="AW328" s="27"/>
      <c r="AX328" s="27"/>
      <c r="AY328" s="27"/>
      <c r="AZ328" s="27"/>
      <c r="BA328" s="27"/>
      <c r="BB328" s="26"/>
      <c r="BC328" s="27"/>
      <c r="BD328" s="26"/>
      <c r="BE328" s="27"/>
      <c r="BF328" s="26"/>
      <c r="BH328" s="26"/>
      <c r="BI328" s="26"/>
      <c r="BJ328" s="26"/>
      <c r="BK328" s="26"/>
    </row>
    <row r="329" spans="3:63" x14ac:dyDescent="0.2">
      <c r="C329" s="26"/>
      <c r="D329" s="26"/>
      <c r="E329" s="26"/>
      <c r="F329" s="26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7"/>
      <c r="AH329" s="27"/>
      <c r="AI329" s="27"/>
      <c r="AJ329" s="27"/>
      <c r="AK329" s="27"/>
      <c r="AL329" s="27"/>
      <c r="AM329" s="27"/>
      <c r="AN329" s="27"/>
      <c r="AO329" s="27"/>
      <c r="AP329" s="27"/>
      <c r="AQ329" s="27"/>
      <c r="AR329" s="27"/>
      <c r="AS329" s="27"/>
      <c r="AT329" s="27"/>
      <c r="AV329" s="27"/>
      <c r="AW329" s="27"/>
      <c r="AX329" s="27"/>
      <c r="AY329" s="27"/>
      <c r="AZ329" s="27"/>
      <c r="BA329" s="27"/>
      <c r="BB329" s="26"/>
      <c r="BC329" s="27"/>
      <c r="BD329" s="26"/>
      <c r="BE329" s="27"/>
      <c r="BF329" s="26"/>
      <c r="BH329" s="26"/>
      <c r="BI329" s="26"/>
      <c r="BJ329" s="26"/>
      <c r="BK329" s="26"/>
    </row>
    <row r="330" spans="3:63" x14ac:dyDescent="0.2">
      <c r="C330" s="26"/>
      <c r="D330" s="26"/>
      <c r="E330" s="26"/>
      <c r="F330" s="26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7"/>
      <c r="AH330" s="27"/>
      <c r="AI330" s="27"/>
      <c r="AJ330" s="27"/>
      <c r="AK330" s="27"/>
      <c r="AL330" s="27"/>
      <c r="AM330" s="27"/>
      <c r="AN330" s="27"/>
      <c r="AO330" s="27"/>
      <c r="AP330" s="27"/>
      <c r="AQ330" s="27"/>
      <c r="AR330" s="27"/>
      <c r="AS330" s="27"/>
      <c r="AT330" s="27"/>
      <c r="AV330" s="27"/>
      <c r="AW330" s="27"/>
      <c r="AX330" s="27"/>
      <c r="AY330" s="27"/>
      <c r="AZ330" s="27"/>
      <c r="BA330" s="27"/>
      <c r="BB330" s="26"/>
      <c r="BC330" s="27"/>
      <c r="BD330" s="26"/>
      <c r="BE330" s="27"/>
      <c r="BF330" s="26"/>
      <c r="BH330" s="26"/>
      <c r="BI330" s="26"/>
      <c r="BJ330" s="26"/>
      <c r="BK330" s="26"/>
    </row>
    <row r="331" spans="3:63" x14ac:dyDescent="0.2">
      <c r="C331" s="26"/>
      <c r="D331" s="26"/>
      <c r="E331" s="26"/>
      <c r="F331" s="26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7"/>
      <c r="AH331" s="27"/>
      <c r="AI331" s="27"/>
      <c r="AJ331" s="27"/>
      <c r="AK331" s="27"/>
      <c r="AL331" s="27"/>
      <c r="AM331" s="27"/>
      <c r="AN331" s="27"/>
      <c r="AO331" s="27"/>
      <c r="AP331" s="27"/>
      <c r="AQ331" s="27"/>
      <c r="AR331" s="27"/>
      <c r="AS331" s="27"/>
      <c r="AT331" s="27"/>
      <c r="AV331" s="27"/>
      <c r="AW331" s="27"/>
      <c r="AX331" s="27"/>
      <c r="AY331" s="27"/>
      <c r="AZ331" s="27"/>
      <c r="BA331" s="27"/>
      <c r="BB331" s="26"/>
      <c r="BC331" s="27"/>
      <c r="BD331" s="26"/>
      <c r="BE331" s="27"/>
      <c r="BF331" s="26"/>
      <c r="BH331" s="26"/>
      <c r="BI331" s="26"/>
      <c r="BJ331" s="26"/>
      <c r="BK331" s="26"/>
    </row>
    <row r="332" spans="3:63" x14ac:dyDescent="0.2">
      <c r="C332" s="26"/>
      <c r="D332" s="26"/>
      <c r="E332" s="26"/>
      <c r="F332" s="26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27"/>
      <c r="AH332" s="27"/>
      <c r="AI332" s="27"/>
      <c r="AJ332" s="27"/>
      <c r="AK332" s="27"/>
      <c r="AL332" s="27"/>
      <c r="AM332" s="27"/>
      <c r="AN332" s="27"/>
      <c r="AO332" s="27"/>
      <c r="AP332" s="27"/>
      <c r="AQ332" s="27"/>
      <c r="AR332" s="27"/>
      <c r="AS332" s="27"/>
      <c r="AT332" s="27"/>
      <c r="AV332" s="27"/>
      <c r="AW332" s="27"/>
      <c r="AX332" s="27"/>
      <c r="AY332" s="27"/>
      <c r="AZ332" s="27"/>
      <c r="BA332" s="27"/>
      <c r="BB332" s="26"/>
      <c r="BC332" s="27"/>
      <c r="BD332" s="26"/>
      <c r="BE332" s="27"/>
      <c r="BF332" s="26"/>
      <c r="BH332" s="26"/>
      <c r="BI332" s="26"/>
      <c r="BJ332" s="26"/>
      <c r="BK332" s="26"/>
    </row>
    <row r="333" spans="3:63" x14ac:dyDescent="0.2">
      <c r="C333" s="26"/>
      <c r="D333" s="26"/>
      <c r="E333" s="26"/>
      <c r="F333" s="26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7"/>
      <c r="AH333" s="27"/>
      <c r="AI333" s="27"/>
      <c r="AJ333" s="27"/>
      <c r="AK333" s="27"/>
      <c r="AL333" s="27"/>
      <c r="AM333" s="27"/>
      <c r="AN333" s="27"/>
      <c r="AO333" s="27"/>
      <c r="AP333" s="27"/>
      <c r="AQ333" s="27"/>
      <c r="AR333" s="27"/>
      <c r="AS333" s="27"/>
      <c r="AT333" s="27"/>
      <c r="AV333" s="27"/>
      <c r="AW333" s="27"/>
      <c r="AX333" s="27"/>
      <c r="AY333" s="27"/>
      <c r="AZ333" s="27"/>
      <c r="BA333" s="27"/>
      <c r="BB333" s="26"/>
      <c r="BC333" s="27"/>
      <c r="BD333" s="26"/>
      <c r="BE333" s="27"/>
      <c r="BF333" s="26"/>
      <c r="BH333" s="26"/>
      <c r="BI333" s="26"/>
      <c r="BJ333" s="26"/>
      <c r="BK333" s="26"/>
    </row>
    <row r="334" spans="3:63" x14ac:dyDescent="0.2">
      <c r="C334" s="26"/>
      <c r="D334" s="26"/>
      <c r="E334" s="26"/>
      <c r="F334" s="26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7"/>
      <c r="AH334" s="27"/>
      <c r="AI334" s="27"/>
      <c r="AJ334" s="27"/>
      <c r="AK334" s="27"/>
      <c r="AL334" s="27"/>
      <c r="AM334" s="27"/>
      <c r="AN334" s="27"/>
      <c r="AO334" s="27"/>
      <c r="AP334" s="27"/>
      <c r="AQ334" s="27"/>
      <c r="AR334" s="27"/>
      <c r="AS334" s="27"/>
      <c r="AT334" s="27"/>
      <c r="AV334" s="27"/>
      <c r="AW334" s="27"/>
      <c r="AX334" s="27"/>
      <c r="AY334" s="27"/>
      <c r="AZ334" s="27"/>
      <c r="BA334" s="27"/>
      <c r="BB334" s="26"/>
      <c r="BC334" s="27"/>
      <c r="BD334" s="26"/>
      <c r="BE334" s="27"/>
      <c r="BF334" s="26"/>
      <c r="BH334" s="26"/>
      <c r="BI334" s="26"/>
      <c r="BJ334" s="26"/>
      <c r="BK334" s="26"/>
    </row>
    <row r="335" spans="3:63" x14ac:dyDescent="0.2">
      <c r="C335" s="26"/>
      <c r="D335" s="26"/>
      <c r="E335" s="26"/>
      <c r="F335" s="26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7"/>
      <c r="AH335" s="27"/>
      <c r="AI335" s="27"/>
      <c r="AJ335" s="27"/>
      <c r="AK335" s="27"/>
      <c r="AL335" s="27"/>
      <c r="AM335" s="27"/>
      <c r="AN335" s="27"/>
      <c r="AO335" s="27"/>
      <c r="AP335" s="27"/>
      <c r="AQ335" s="27"/>
      <c r="AR335" s="27"/>
      <c r="AS335" s="27"/>
      <c r="AT335" s="27"/>
      <c r="AV335" s="27"/>
      <c r="AW335" s="27"/>
      <c r="AX335" s="27"/>
      <c r="AY335" s="27"/>
      <c r="AZ335" s="27"/>
      <c r="BA335" s="27"/>
      <c r="BB335" s="26"/>
      <c r="BC335" s="27"/>
      <c r="BD335" s="26"/>
      <c r="BE335" s="27"/>
      <c r="BF335" s="26"/>
      <c r="BH335" s="26"/>
      <c r="BI335" s="26"/>
      <c r="BJ335" s="26"/>
      <c r="BK335" s="26"/>
    </row>
    <row r="336" spans="3:63" x14ac:dyDescent="0.2">
      <c r="C336" s="26"/>
      <c r="D336" s="26"/>
      <c r="E336" s="26"/>
      <c r="F336" s="26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27"/>
      <c r="AH336" s="27"/>
      <c r="AI336" s="27"/>
      <c r="AJ336" s="27"/>
      <c r="AK336" s="27"/>
      <c r="AL336" s="27"/>
      <c r="AM336" s="27"/>
      <c r="AN336" s="27"/>
      <c r="AO336" s="27"/>
      <c r="AP336" s="27"/>
      <c r="AQ336" s="27"/>
      <c r="AR336" s="27"/>
      <c r="AS336" s="27"/>
      <c r="AT336" s="27"/>
      <c r="AV336" s="27"/>
      <c r="AW336" s="27"/>
      <c r="AX336" s="27"/>
      <c r="AY336" s="27"/>
      <c r="AZ336" s="27"/>
      <c r="BA336" s="27"/>
      <c r="BB336" s="26"/>
      <c r="BC336" s="27"/>
      <c r="BD336" s="26"/>
      <c r="BE336" s="27"/>
      <c r="BF336" s="26"/>
      <c r="BH336" s="26"/>
      <c r="BI336" s="26"/>
      <c r="BJ336" s="26"/>
      <c r="BK336" s="26"/>
    </row>
    <row r="337" spans="3:63" x14ac:dyDescent="0.2">
      <c r="C337" s="26"/>
      <c r="D337" s="26"/>
      <c r="E337" s="26"/>
      <c r="F337" s="26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27"/>
      <c r="AH337" s="27"/>
      <c r="AI337" s="27"/>
      <c r="AJ337" s="27"/>
      <c r="AK337" s="27"/>
      <c r="AL337" s="27"/>
      <c r="AM337" s="27"/>
      <c r="AN337" s="27"/>
      <c r="AO337" s="27"/>
      <c r="AP337" s="27"/>
      <c r="AQ337" s="27"/>
      <c r="AR337" s="27"/>
      <c r="AS337" s="27"/>
      <c r="AT337" s="27"/>
      <c r="AV337" s="27"/>
      <c r="AW337" s="27"/>
      <c r="AX337" s="27"/>
      <c r="AY337" s="27"/>
      <c r="AZ337" s="27"/>
      <c r="BA337" s="27"/>
      <c r="BB337" s="26"/>
      <c r="BC337" s="27"/>
      <c r="BD337" s="26"/>
      <c r="BE337" s="27"/>
      <c r="BF337" s="26"/>
      <c r="BH337" s="26"/>
      <c r="BI337" s="26"/>
      <c r="BJ337" s="26"/>
      <c r="BK337" s="26"/>
    </row>
    <row r="338" spans="3:63" x14ac:dyDescent="0.2">
      <c r="C338" s="26"/>
      <c r="D338" s="26"/>
      <c r="E338" s="26"/>
      <c r="F338" s="26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7"/>
      <c r="AH338" s="27"/>
      <c r="AI338" s="27"/>
      <c r="AJ338" s="27"/>
      <c r="AK338" s="27"/>
      <c r="AL338" s="27"/>
      <c r="AM338" s="27"/>
      <c r="AN338" s="27"/>
      <c r="AO338" s="27"/>
      <c r="AP338" s="27"/>
      <c r="AQ338" s="27"/>
      <c r="AR338" s="27"/>
      <c r="AS338" s="27"/>
      <c r="AT338" s="27"/>
      <c r="AV338" s="27"/>
      <c r="AW338" s="27"/>
      <c r="AX338" s="27"/>
      <c r="AY338" s="27"/>
      <c r="AZ338" s="27"/>
      <c r="BA338" s="27"/>
      <c r="BB338" s="26"/>
      <c r="BC338" s="27"/>
      <c r="BD338" s="26"/>
      <c r="BE338" s="27"/>
      <c r="BF338" s="26"/>
      <c r="BH338" s="26"/>
      <c r="BI338" s="26"/>
      <c r="BJ338" s="26"/>
      <c r="BK338" s="26"/>
    </row>
    <row r="339" spans="3:63" x14ac:dyDescent="0.2">
      <c r="C339" s="26"/>
      <c r="D339" s="26"/>
      <c r="E339" s="26"/>
      <c r="F339" s="26"/>
      <c r="AV339" s="27"/>
      <c r="AW339" s="27"/>
      <c r="AX339" s="27"/>
      <c r="AY339" s="27"/>
      <c r="AZ339" s="27"/>
      <c r="BA339" s="27"/>
      <c r="BB339" s="26"/>
      <c r="BC339" s="27"/>
      <c r="BD339" s="26"/>
      <c r="BE339" s="27"/>
      <c r="BF339" s="26"/>
      <c r="BH339" s="26"/>
      <c r="BI339" s="26"/>
      <c r="BJ339" s="26"/>
      <c r="BK339" s="26"/>
    </row>
    <row r="340" spans="3:63" x14ac:dyDescent="0.2">
      <c r="C340" s="26"/>
      <c r="D340" s="26"/>
      <c r="E340" s="26"/>
      <c r="F340" s="26"/>
      <c r="AV340" s="27"/>
      <c r="AW340" s="27"/>
      <c r="AX340" s="27"/>
      <c r="AY340" s="27"/>
      <c r="AZ340" s="27"/>
      <c r="BA340" s="27"/>
      <c r="BB340" s="26"/>
      <c r="BC340" s="27"/>
      <c r="BD340" s="26"/>
      <c r="BE340" s="27"/>
      <c r="BF340" s="26"/>
      <c r="BH340" s="26"/>
      <c r="BI340" s="26"/>
      <c r="BJ340" s="26"/>
      <c r="BK340" s="26"/>
    </row>
    <row r="341" spans="3:63" x14ac:dyDescent="0.2">
      <c r="C341" s="26"/>
      <c r="D341" s="26"/>
      <c r="E341" s="26"/>
      <c r="F341" s="26"/>
      <c r="AV341" s="27"/>
      <c r="AW341" s="27"/>
      <c r="AX341" s="27"/>
      <c r="AY341" s="27"/>
      <c r="AZ341" s="27"/>
      <c r="BA341" s="27"/>
      <c r="BB341" s="26"/>
      <c r="BC341" s="27"/>
      <c r="BD341" s="26"/>
      <c r="BE341" s="27"/>
      <c r="BF341" s="26"/>
      <c r="BH341" s="26"/>
      <c r="BI341" s="26"/>
      <c r="BJ341" s="26"/>
      <c r="BK341" s="26"/>
    </row>
    <row r="342" spans="3:63" x14ac:dyDescent="0.2">
      <c r="C342" s="26"/>
      <c r="D342" s="26"/>
      <c r="E342" s="26"/>
      <c r="F342" s="26"/>
      <c r="AV342" s="27"/>
      <c r="AW342" s="27"/>
      <c r="AX342" s="27"/>
      <c r="AY342" s="27"/>
      <c r="AZ342" s="27"/>
      <c r="BA342" s="27"/>
      <c r="BB342" s="26"/>
      <c r="BC342" s="27"/>
      <c r="BD342" s="26"/>
      <c r="BE342" s="27"/>
      <c r="BF342" s="26"/>
      <c r="BH342" s="26"/>
      <c r="BI342" s="26"/>
      <c r="BJ342" s="26"/>
      <c r="BK342" s="26"/>
    </row>
    <row r="343" spans="3:63" x14ac:dyDescent="0.2">
      <c r="C343" s="26"/>
      <c r="D343" s="26"/>
      <c r="E343" s="26"/>
      <c r="F343" s="26"/>
      <c r="AV343" s="27"/>
      <c r="AW343" s="27"/>
      <c r="AX343" s="27"/>
      <c r="AY343" s="27"/>
      <c r="AZ343" s="27"/>
      <c r="BA343" s="27"/>
      <c r="BB343" s="26"/>
      <c r="BC343" s="27"/>
      <c r="BD343" s="26"/>
      <c r="BE343" s="27"/>
      <c r="BF343" s="26"/>
      <c r="BH343" s="26"/>
      <c r="BI343" s="26"/>
      <c r="BJ343" s="26"/>
      <c r="BK343" s="26"/>
    </row>
    <row r="344" spans="3:63" x14ac:dyDescent="0.2">
      <c r="C344" s="26"/>
      <c r="D344" s="26"/>
      <c r="E344" s="26"/>
      <c r="F344" s="26"/>
      <c r="AV344" s="27"/>
      <c r="AW344" s="27"/>
      <c r="AX344" s="27"/>
      <c r="AY344" s="27"/>
      <c r="AZ344" s="27"/>
      <c r="BA344" s="27"/>
      <c r="BB344" s="26"/>
      <c r="BC344" s="27"/>
      <c r="BD344" s="26"/>
      <c r="BE344" s="27"/>
      <c r="BF344" s="26"/>
      <c r="BH344" s="26"/>
      <c r="BI344" s="26"/>
      <c r="BJ344" s="26"/>
      <c r="BK344" s="26"/>
    </row>
    <row r="345" spans="3:63" x14ac:dyDescent="0.2">
      <c r="C345" s="26"/>
      <c r="D345" s="26"/>
      <c r="E345" s="26"/>
      <c r="F345" s="26"/>
      <c r="AV345" s="27"/>
      <c r="AW345" s="27"/>
      <c r="AX345" s="27"/>
      <c r="AY345" s="27"/>
      <c r="AZ345" s="27"/>
      <c r="BA345" s="27"/>
      <c r="BB345" s="26"/>
      <c r="BC345" s="27"/>
      <c r="BD345" s="26"/>
      <c r="BE345" s="27"/>
      <c r="BF345" s="26"/>
      <c r="BH345" s="26"/>
      <c r="BI345" s="26"/>
      <c r="BJ345" s="26"/>
      <c r="BK345" s="26"/>
    </row>
    <row r="346" spans="3:63" x14ac:dyDescent="0.2">
      <c r="C346" s="26"/>
      <c r="D346" s="26"/>
      <c r="E346" s="26"/>
      <c r="F346" s="26"/>
      <c r="AV346" s="27"/>
      <c r="AW346" s="27"/>
      <c r="AX346" s="27"/>
      <c r="AY346" s="27"/>
      <c r="AZ346" s="27"/>
      <c r="BA346" s="27"/>
      <c r="BB346" s="26"/>
      <c r="BC346" s="27"/>
      <c r="BD346" s="26"/>
      <c r="BE346" s="27"/>
      <c r="BF346" s="26"/>
      <c r="BH346" s="26"/>
      <c r="BI346" s="26"/>
      <c r="BJ346" s="26"/>
      <c r="BK346" s="26"/>
    </row>
    <row r="347" spans="3:63" x14ac:dyDescent="0.2">
      <c r="C347" s="26"/>
      <c r="D347" s="26"/>
      <c r="E347" s="26"/>
      <c r="F347" s="26"/>
      <c r="AV347" s="27"/>
      <c r="AW347" s="27"/>
      <c r="AX347" s="27"/>
      <c r="AY347" s="27"/>
      <c r="AZ347" s="27"/>
      <c r="BA347" s="27"/>
      <c r="BB347" s="26"/>
      <c r="BC347" s="27"/>
      <c r="BD347" s="26"/>
      <c r="BE347" s="27"/>
      <c r="BF347" s="26"/>
      <c r="BH347" s="26"/>
      <c r="BI347" s="26"/>
      <c r="BJ347" s="26"/>
      <c r="BK347" s="26"/>
    </row>
    <row r="348" spans="3:63" x14ac:dyDescent="0.2">
      <c r="C348" s="26"/>
      <c r="D348" s="26"/>
      <c r="E348" s="26"/>
      <c r="F348" s="26"/>
      <c r="AV348" s="27"/>
      <c r="AW348" s="27"/>
      <c r="AX348" s="27"/>
      <c r="AY348" s="27"/>
      <c r="AZ348" s="27"/>
      <c r="BA348" s="27"/>
      <c r="BB348" s="26"/>
      <c r="BC348" s="27"/>
      <c r="BD348" s="26"/>
      <c r="BE348" s="27"/>
      <c r="BF348" s="26"/>
      <c r="BH348" s="26"/>
      <c r="BI348" s="26"/>
      <c r="BJ348" s="26"/>
      <c r="BK348" s="26"/>
    </row>
    <row r="349" spans="3:63" x14ac:dyDescent="0.2">
      <c r="C349" s="26"/>
      <c r="D349" s="26"/>
      <c r="E349" s="26"/>
      <c r="F349" s="26"/>
      <c r="AV349" s="27"/>
      <c r="AW349" s="27"/>
      <c r="AX349" s="27"/>
      <c r="AY349" s="27"/>
      <c r="AZ349" s="27"/>
      <c r="BA349" s="27"/>
      <c r="BB349" s="26"/>
      <c r="BC349" s="27"/>
      <c r="BD349" s="26"/>
      <c r="BE349" s="27"/>
      <c r="BF349" s="26"/>
      <c r="BH349" s="26"/>
      <c r="BI349" s="26"/>
      <c r="BJ349" s="26"/>
      <c r="BK349" s="26"/>
    </row>
    <row r="350" spans="3:63" x14ac:dyDescent="0.2">
      <c r="C350" s="26"/>
      <c r="D350" s="26"/>
      <c r="E350" s="26"/>
      <c r="F350" s="26"/>
      <c r="AV350" s="27"/>
      <c r="AW350" s="27"/>
      <c r="AX350" s="27"/>
      <c r="AY350" s="27"/>
      <c r="AZ350" s="27"/>
      <c r="BA350" s="27"/>
      <c r="BB350" s="26"/>
      <c r="BC350" s="27"/>
      <c r="BD350" s="26"/>
      <c r="BE350" s="27"/>
      <c r="BF350" s="26"/>
      <c r="BH350" s="26"/>
      <c r="BI350" s="26"/>
      <c r="BJ350" s="26"/>
      <c r="BK350" s="26"/>
    </row>
    <row r="351" spans="3:63" x14ac:dyDescent="0.2">
      <c r="C351" s="26"/>
      <c r="D351" s="26"/>
      <c r="E351" s="26"/>
      <c r="F351" s="26"/>
      <c r="AV351" s="27"/>
      <c r="AW351" s="27"/>
      <c r="AX351" s="27"/>
      <c r="AY351" s="27"/>
      <c r="AZ351" s="27"/>
      <c r="BA351" s="27"/>
      <c r="BB351" s="26"/>
      <c r="BC351" s="27"/>
      <c r="BD351" s="26"/>
      <c r="BE351" s="27"/>
      <c r="BF351" s="26"/>
      <c r="BH351" s="26"/>
      <c r="BI351" s="26"/>
      <c r="BJ351" s="26"/>
      <c r="BK351" s="26"/>
    </row>
    <row r="352" spans="3:63" x14ac:dyDescent="0.2">
      <c r="C352" s="26"/>
      <c r="D352" s="26"/>
      <c r="E352" s="26"/>
      <c r="F352" s="26"/>
      <c r="AV352" s="27"/>
      <c r="AW352" s="27"/>
      <c r="AX352" s="27"/>
      <c r="AY352" s="27"/>
      <c r="AZ352" s="27"/>
      <c r="BA352" s="27"/>
      <c r="BB352" s="26"/>
      <c r="BC352" s="27"/>
      <c r="BD352" s="26"/>
      <c r="BE352" s="27"/>
      <c r="BF352" s="26"/>
      <c r="BH352" s="26"/>
      <c r="BI352" s="26"/>
      <c r="BJ352" s="26"/>
      <c r="BK352" s="26"/>
    </row>
    <row r="353" spans="3:63" x14ac:dyDescent="0.2">
      <c r="C353" s="26"/>
      <c r="D353" s="26"/>
      <c r="E353" s="26"/>
      <c r="F353" s="26"/>
      <c r="AV353" s="27"/>
      <c r="AW353" s="27"/>
      <c r="AX353" s="27"/>
      <c r="AY353" s="27"/>
      <c r="AZ353" s="27"/>
      <c r="BA353" s="27"/>
      <c r="BB353" s="26"/>
      <c r="BC353" s="27"/>
      <c r="BD353" s="26"/>
      <c r="BE353" s="27"/>
      <c r="BF353" s="26"/>
      <c r="BH353" s="26"/>
      <c r="BI353" s="26"/>
      <c r="BJ353" s="26"/>
      <c r="BK353" s="26"/>
    </row>
    <row r="354" spans="3:63" x14ac:dyDescent="0.2">
      <c r="C354" s="26"/>
      <c r="D354" s="26"/>
      <c r="E354" s="26"/>
      <c r="F354" s="26"/>
      <c r="AV354" s="27"/>
      <c r="AW354" s="27"/>
      <c r="AX354" s="27"/>
      <c r="AY354" s="27"/>
      <c r="AZ354" s="27"/>
      <c r="BA354" s="27"/>
      <c r="BB354" s="26"/>
      <c r="BC354" s="27"/>
      <c r="BD354" s="26"/>
      <c r="BE354" s="27"/>
      <c r="BF354" s="26"/>
      <c r="BH354" s="26"/>
      <c r="BI354" s="26"/>
      <c r="BJ354" s="26"/>
      <c r="BK354" s="26"/>
    </row>
    <row r="355" spans="3:63" x14ac:dyDescent="0.2">
      <c r="C355" s="26"/>
      <c r="D355" s="26"/>
      <c r="E355" s="26"/>
      <c r="F355" s="26"/>
      <c r="AV355" s="27"/>
      <c r="AW355" s="27"/>
      <c r="AX355" s="27"/>
      <c r="AY355" s="27"/>
      <c r="AZ355" s="27"/>
      <c r="BA355" s="27"/>
      <c r="BB355" s="26"/>
      <c r="BC355" s="27"/>
      <c r="BD355" s="26"/>
      <c r="BE355" s="27"/>
      <c r="BF355" s="26"/>
      <c r="BH355" s="26"/>
      <c r="BI355" s="26"/>
      <c r="BJ355" s="26"/>
      <c r="BK355" s="26"/>
    </row>
    <row r="356" spans="3:63" x14ac:dyDescent="0.2">
      <c r="C356" s="26"/>
      <c r="D356" s="26"/>
      <c r="E356" s="26"/>
      <c r="F356" s="26"/>
      <c r="AV356" s="27"/>
      <c r="AW356" s="27"/>
      <c r="AX356" s="27"/>
      <c r="AY356" s="27"/>
      <c r="AZ356" s="27"/>
      <c r="BA356" s="27"/>
      <c r="BB356" s="26"/>
      <c r="BC356" s="27"/>
      <c r="BD356" s="26"/>
      <c r="BE356" s="27"/>
      <c r="BF356" s="26"/>
      <c r="BH356" s="26"/>
      <c r="BI356" s="26"/>
      <c r="BJ356" s="26"/>
      <c r="BK356" s="26"/>
    </row>
    <row r="357" spans="3:63" x14ac:dyDescent="0.2">
      <c r="C357" s="26"/>
      <c r="D357" s="26"/>
      <c r="E357" s="26"/>
      <c r="F357" s="26"/>
      <c r="AV357" s="27"/>
      <c r="AW357" s="27"/>
      <c r="AX357" s="27"/>
      <c r="AY357" s="27"/>
      <c r="AZ357" s="27"/>
      <c r="BA357" s="27"/>
      <c r="BB357" s="26"/>
      <c r="BC357" s="27"/>
      <c r="BD357" s="26"/>
      <c r="BE357" s="27"/>
      <c r="BF357" s="26"/>
      <c r="BH357" s="26"/>
      <c r="BI357" s="26"/>
      <c r="BJ357" s="26"/>
      <c r="BK357" s="26"/>
    </row>
    <row r="358" spans="3:63" x14ac:dyDescent="0.2">
      <c r="C358" s="26"/>
      <c r="D358" s="26"/>
      <c r="E358" s="26"/>
      <c r="F358" s="26"/>
      <c r="AV358" s="27"/>
      <c r="AW358" s="27"/>
      <c r="AX358" s="27"/>
      <c r="AY358" s="27"/>
      <c r="AZ358" s="27"/>
      <c r="BA358" s="27"/>
      <c r="BB358" s="26"/>
      <c r="BC358" s="27"/>
      <c r="BD358" s="26"/>
      <c r="BE358" s="27"/>
      <c r="BF358" s="26"/>
      <c r="BH358" s="26"/>
      <c r="BI358" s="26"/>
      <c r="BJ358" s="26"/>
      <c r="BK358" s="26"/>
    </row>
    <row r="359" spans="3:63" x14ac:dyDescent="0.2">
      <c r="C359" s="26"/>
      <c r="D359" s="26"/>
      <c r="E359" s="26"/>
      <c r="F359" s="26"/>
      <c r="AV359" s="27"/>
      <c r="AW359" s="27"/>
      <c r="AX359" s="27"/>
      <c r="AY359" s="27"/>
      <c r="AZ359" s="27"/>
      <c r="BA359" s="27"/>
      <c r="BB359" s="26"/>
      <c r="BC359" s="27"/>
      <c r="BD359" s="26"/>
      <c r="BE359" s="27"/>
      <c r="BF359" s="26"/>
      <c r="BH359" s="26"/>
      <c r="BI359" s="26"/>
      <c r="BJ359" s="26"/>
      <c r="BK359" s="26"/>
    </row>
    <row r="360" spans="3:63" x14ac:dyDescent="0.2">
      <c r="C360" s="26"/>
      <c r="D360" s="26"/>
      <c r="E360" s="26"/>
      <c r="F360" s="26"/>
      <c r="AV360" s="27"/>
      <c r="AW360" s="27"/>
      <c r="AX360" s="27"/>
      <c r="AY360" s="27"/>
      <c r="AZ360" s="27"/>
      <c r="BA360" s="27"/>
      <c r="BB360" s="26"/>
      <c r="BC360" s="27"/>
      <c r="BD360" s="26"/>
      <c r="BE360" s="27"/>
      <c r="BF360" s="26"/>
      <c r="BH360" s="26"/>
      <c r="BI360" s="26"/>
      <c r="BJ360" s="26"/>
      <c r="BK360" s="26"/>
    </row>
    <row r="361" spans="3:63" x14ac:dyDescent="0.2">
      <c r="C361" s="26"/>
      <c r="D361" s="26"/>
      <c r="E361" s="26"/>
      <c r="F361" s="26"/>
      <c r="AV361" s="27"/>
      <c r="AW361" s="27"/>
      <c r="AX361" s="27"/>
      <c r="AY361" s="27"/>
      <c r="AZ361" s="27"/>
      <c r="BA361" s="27"/>
      <c r="BB361" s="26"/>
      <c r="BC361" s="27"/>
      <c r="BD361" s="26"/>
      <c r="BE361" s="27"/>
      <c r="BF361" s="26"/>
      <c r="BH361" s="26"/>
      <c r="BI361" s="26"/>
      <c r="BJ361" s="26"/>
      <c r="BK361" s="26"/>
    </row>
    <row r="362" spans="3:63" x14ac:dyDescent="0.2">
      <c r="C362" s="26"/>
      <c r="D362" s="26"/>
      <c r="E362" s="26"/>
      <c r="F362" s="26"/>
      <c r="AV362" s="27"/>
      <c r="AW362" s="27"/>
      <c r="AX362" s="27"/>
      <c r="AY362" s="27"/>
      <c r="AZ362" s="27"/>
      <c r="BA362" s="27"/>
      <c r="BB362" s="26"/>
      <c r="BC362" s="27"/>
      <c r="BD362" s="26"/>
      <c r="BE362" s="27"/>
      <c r="BF362" s="26"/>
      <c r="BH362" s="26"/>
      <c r="BI362" s="26"/>
      <c r="BJ362" s="26"/>
      <c r="BK362" s="26"/>
    </row>
    <row r="363" spans="3:63" x14ac:dyDescent="0.2">
      <c r="C363" s="26"/>
      <c r="D363" s="26"/>
      <c r="E363" s="26"/>
      <c r="F363" s="26"/>
      <c r="AV363" s="27"/>
      <c r="AW363" s="27"/>
      <c r="AX363" s="27"/>
      <c r="AY363" s="27"/>
      <c r="AZ363" s="27"/>
      <c r="BA363" s="27"/>
      <c r="BB363" s="26"/>
      <c r="BC363" s="27"/>
      <c r="BD363" s="26"/>
      <c r="BE363" s="27"/>
      <c r="BF363" s="26"/>
      <c r="BH363" s="26"/>
      <c r="BI363" s="26"/>
      <c r="BJ363" s="26"/>
      <c r="BK363" s="26"/>
    </row>
    <row r="364" spans="3:63" x14ac:dyDescent="0.2">
      <c r="C364" s="26"/>
      <c r="D364" s="26"/>
      <c r="E364" s="26"/>
      <c r="F364" s="26"/>
      <c r="AV364" s="27"/>
      <c r="AW364" s="27"/>
      <c r="AX364" s="27"/>
      <c r="AY364" s="27"/>
      <c r="AZ364" s="27"/>
      <c r="BA364" s="27"/>
      <c r="BB364" s="26"/>
      <c r="BC364" s="27"/>
      <c r="BD364" s="26"/>
      <c r="BE364" s="27"/>
      <c r="BF364" s="26"/>
      <c r="BH364" s="26"/>
      <c r="BI364" s="26"/>
      <c r="BJ364" s="26"/>
      <c r="BK364" s="26"/>
    </row>
    <row r="365" spans="3:63" x14ac:dyDescent="0.2">
      <c r="C365" s="26"/>
      <c r="D365" s="26"/>
      <c r="E365" s="26"/>
      <c r="F365" s="26"/>
      <c r="AV365" s="27"/>
      <c r="AW365" s="27"/>
      <c r="AX365" s="27"/>
      <c r="AY365" s="27"/>
      <c r="AZ365" s="27"/>
      <c r="BA365" s="27"/>
      <c r="BB365" s="26"/>
      <c r="BC365" s="27"/>
      <c r="BD365" s="26"/>
      <c r="BE365" s="27"/>
      <c r="BF365" s="26"/>
      <c r="BH365" s="26"/>
      <c r="BI365" s="26"/>
      <c r="BJ365" s="26"/>
      <c r="BK365" s="26"/>
    </row>
    <row r="366" spans="3:63" x14ac:dyDescent="0.2">
      <c r="C366" s="26"/>
      <c r="D366" s="26"/>
      <c r="E366" s="26"/>
      <c r="F366" s="26"/>
      <c r="AV366" s="27"/>
      <c r="AW366" s="27"/>
      <c r="AX366" s="27"/>
      <c r="AY366" s="27"/>
      <c r="AZ366" s="27"/>
      <c r="BA366" s="27"/>
      <c r="BB366" s="26"/>
      <c r="BC366" s="27"/>
      <c r="BD366" s="26"/>
      <c r="BE366" s="27"/>
      <c r="BF366" s="26"/>
      <c r="BH366" s="26"/>
      <c r="BI366" s="26"/>
      <c r="BJ366" s="26"/>
      <c r="BK366" s="26"/>
    </row>
    <row r="367" spans="3:63" x14ac:dyDescent="0.2">
      <c r="C367" s="26"/>
      <c r="D367" s="26"/>
      <c r="E367" s="26"/>
      <c r="F367" s="26"/>
      <c r="AV367" s="27"/>
      <c r="AW367" s="27"/>
      <c r="AX367" s="27"/>
      <c r="AY367" s="27"/>
      <c r="AZ367" s="27"/>
      <c r="BA367" s="27"/>
      <c r="BB367" s="26"/>
      <c r="BC367" s="27"/>
      <c r="BD367" s="26"/>
      <c r="BE367" s="27"/>
      <c r="BF367" s="26"/>
      <c r="BH367" s="26"/>
      <c r="BI367" s="26"/>
      <c r="BJ367" s="26"/>
      <c r="BK367" s="26"/>
    </row>
    <row r="368" spans="3:63" x14ac:dyDescent="0.2">
      <c r="C368" s="26"/>
      <c r="D368" s="26"/>
      <c r="E368" s="26"/>
      <c r="F368" s="26"/>
      <c r="AV368" s="27"/>
      <c r="AW368" s="27"/>
      <c r="AX368" s="27"/>
      <c r="AY368" s="27"/>
      <c r="AZ368" s="27"/>
      <c r="BA368" s="27"/>
      <c r="BB368" s="26"/>
      <c r="BC368" s="27"/>
      <c r="BD368" s="26"/>
      <c r="BE368" s="27"/>
      <c r="BF368" s="26"/>
      <c r="BH368" s="26"/>
      <c r="BI368" s="26"/>
      <c r="BJ368" s="26"/>
      <c r="BK368" s="26"/>
    </row>
    <row r="369" spans="3:63" x14ac:dyDescent="0.2">
      <c r="C369" s="26"/>
      <c r="D369" s="26"/>
      <c r="E369" s="26"/>
      <c r="F369" s="26"/>
      <c r="AV369" s="27"/>
      <c r="AW369" s="27"/>
      <c r="AX369" s="27"/>
      <c r="AY369" s="27"/>
      <c r="AZ369" s="27"/>
      <c r="BA369" s="27"/>
      <c r="BB369" s="26"/>
      <c r="BC369" s="27"/>
      <c r="BD369" s="26"/>
      <c r="BE369" s="27"/>
      <c r="BF369" s="26"/>
      <c r="BH369" s="26"/>
      <c r="BI369" s="26"/>
      <c r="BJ369" s="26"/>
      <c r="BK369" s="26"/>
    </row>
    <row r="370" spans="3:63" x14ac:dyDescent="0.2">
      <c r="C370" s="26"/>
      <c r="D370" s="26"/>
      <c r="E370" s="26"/>
      <c r="F370" s="26"/>
      <c r="AV370" s="27"/>
      <c r="AW370" s="27"/>
      <c r="AX370" s="27"/>
      <c r="AY370" s="27"/>
      <c r="AZ370" s="27"/>
      <c r="BA370" s="27"/>
      <c r="BB370" s="26"/>
      <c r="BC370" s="27"/>
      <c r="BD370" s="26"/>
      <c r="BE370" s="27"/>
      <c r="BF370" s="26"/>
      <c r="BH370" s="26"/>
      <c r="BI370" s="26"/>
      <c r="BJ370" s="26"/>
      <c r="BK370" s="26"/>
    </row>
    <row r="371" spans="3:63" x14ac:dyDescent="0.2">
      <c r="C371" s="26"/>
      <c r="D371" s="26"/>
      <c r="E371" s="26"/>
      <c r="F371" s="26"/>
      <c r="AV371" s="27"/>
      <c r="AW371" s="27"/>
      <c r="AX371" s="27"/>
      <c r="AY371" s="27"/>
      <c r="AZ371" s="27"/>
      <c r="BA371" s="27"/>
      <c r="BB371" s="26"/>
      <c r="BC371" s="27"/>
      <c r="BD371" s="26"/>
      <c r="BE371" s="27"/>
      <c r="BF371" s="26"/>
      <c r="BH371" s="26"/>
      <c r="BI371" s="26"/>
      <c r="BJ371" s="26"/>
      <c r="BK371" s="26"/>
    </row>
    <row r="372" spans="3:63" x14ac:dyDescent="0.2">
      <c r="C372" s="26"/>
      <c r="D372" s="26"/>
      <c r="E372" s="26"/>
      <c r="F372" s="26"/>
      <c r="AV372" s="27"/>
      <c r="AW372" s="27"/>
      <c r="AX372" s="27"/>
      <c r="AY372" s="27"/>
      <c r="AZ372" s="27"/>
      <c r="BA372" s="27"/>
      <c r="BB372" s="26"/>
      <c r="BC372" s="27"/>
      <c r="BD372" s="26"/>
      <c r="BE372" s="27"/>
      <c r="BF372" s="26"/>
      <c r="BH372" s="26"/>
      <c r="BI372" s="26"/>
      <c r="BJ372" s="26"/>
      <c r="BK372" s="26"/>
    </row>
    <row r="373" spans="3:63" x14ac:dyDescent="0.2">
      <c r="C373" s="26"/>
      <c r="D373" s="26"/>
      <c r="E373" s="26"/>
      <c r="F373" s="26"/>
      <c r="AV373" s="27"/>
      <c r="AW373" s="27"/>
      <c r="AX373" s="27"/>
      <c r="AY373" s="27"/>
      <c r="AZ373" s="27"/>
      <c r="BA373" s="27"/>
      <c r="BB373" s="26"/>
      <c r="BC373" s="27"/>
      <c r="BD373" s="26"/>
      <c r="BE373" s="27"/>
      <c r="BF373" s="26"/>
      <c r="BH373" s="26"/>
      <c r="BI373" s="26"/>
      <c r="BJ373" s="26"/>
      <c r="BK373" s="26"/>
    </row>
    <row r="374" spans="3:63" x14ac:dyDescent="0.2">
      <c r="C374" s="26"/>
      <c r="D374" s="26"/>
      <c r="E374" s="26"/>
      <c r="F374" s="26"/>
      <c r="AV374" s="27"/>
      <c r="AW374" s="27"/>
      <c r="AX374" s="27"/>
      <c r="AY374" s="27"/>
      <c r="AZ374" s="27"/>
      <c r="BA374" s="27"/>
      <c r="BB374" s="26"/>
      <c r="BC374" s="27"/>
      <c r="BD374" s="26"/>
      <c r="BE374" s="27"/>
      <c r="BF374" s="26"/>
      <c r="BH374" s="26"/>
      <c r="BI374" s="26"/>
      <c r="BJ374" s="26"/>
      <c r="BK374" s="26"/>
    </row>
    <row r="375" spans="3:63" x14ac:dyDescent="0.2">
      <c r="C375" s="26"/>
      <c r="D375" s="26"/>
      <c r="E375" s="26"/>
      <c r="F375" s="26"/>
      <c r="AV375" s="27"/>
      <c r="AW375" s="27"/>
      <c r="AX375" s="27"/>
      <c r="AY375" s="27"/>
      <c r="AZ375" s="27"/>
      <c r="BA375" s="27"/>
      <c r="BB375" s="26"/>
      <c r="BC375" s="27"/>
      <c r="BD375" s="26"/>
      <c r="BE375" s="27"/>
      <c r="BF375" s="26"/>
      <c r="BH375" s="26"/>
      <c r="BI375" s="26"/>
      <c r="BJ375" s="26"/>
      <c r="BK375" s="26"/>
    </row>
    <row r="376" spans="3:63" x14ac:dyDescent="0.2">
      <c r="C376" s="26"/>
      <c r="D376" s="26"/>
      <c r="E376" s="26"/>
      <c r="F376" s="26"/>
      <c r="AV376" s="27"/>
      <c r="AW376" s="27"/>
      <c r="AX376" s="27"/>
      <c r="AY376" s="27"/>
      <c r="AZ376" s="27"/>
      <c r="BA376" s="27"/>
      <c r="BB376" s="26"/>
      <c r="BC376" s="27"/>
      <c r="BD376" s="26"/>
      <c r="BE376" s="27"/>
      <c r="BF376" s="26"/>
      <c r="BH376" s="26"/>
      <c r="BI376" s="26"/>
      <c r="BJ376" s="26"/>
      <c r="BK376" s="26"/>
    </row>
    <row r="377" spans="3:63" x14ac:dyDescent="0.2">
      <c r="C377" s="26"/>
      <c r="D377" s="26"/>
      <c r="E377" s="26"/>
      <c r="F377" s="26"/>
      <c r="AV377" s="27"/>
      <c r="AW377" s="27"/>
      <c r="AX377" s="27"/>
      <c r="AY377" s="27"/>
      <c r="AZ377" s="27"/>
      <c r="BA377" s="27"/>
      <c r="BB377" s="26"/>
      <c r="BC377" s="27"/>
      <c r="BD377" s="26"/>
      <c r="BE377" s="27"/>
      <c r="BF377" s="26"/>
      <c r="BH377" s="26"/>
      <c r="BI377" s="26"/>
      <c r="BJ377" s="26"/>
      <c r="BK377" s="26"/>
    </row>
    <row r="378" spans="3:63" x14ac:dyDescent="0.2">
      <c r="C378" s="26"/>
      <c r="D378" s="26"/>
      <c r="E378" s="26"/>
      <c r="F378" s="26"/>
      <c r="AV378" s="27"/>
      <c r="AW378" s="27"/>
      <c r="AX378" s="27"/>
      <c r="AY378" s="27"/>
      <c r="AZ378" s="27"/>
      <c r="BA378" s="27"/>
      <c r="BB378" s="26"/>
      <c r="BC378" s="27"/>
      <c r="BD378" s="26"/>
      <c r="BE378" s="27"/>
      <c r="BF378" s="26"/>
      <c r="BH378" s="26"/>
      <c r="BI378" s="26"/>
      <c r="BJ378" s="26"/>
      <c r="BK378" s="26"/>
    </row>
    <row r="379" spans="3:63" x14ac:dyDescent="0.2">
      <c r="C379" s="26"/>
      <c r="D379" s="26"/>
      <c r="E379" s="26"/>
      <c r="F379" s="26"/>
      <c r="AV379" s="27"/>
      <c r="AW379" s="27"/>
      <c r="AX379" s="27"/>
      <c r="AY379" s="27"/>
      <c r="AZ379" s="27"/>
      <c r="BA379" s="27"/>
      <c r="BB379" s="26"/>
      <c r="BC379" s="27"/>
      <c r="BD379" s="26"/>
      <c r="BE379" s="27"/>
      <c r="BF379" s="26"/>
      <c r="BH379" s="26"/>
      <c r="BI379" s="26"/>
      <c r="BJ379" s="26"/>
      <c r="BK379" s="26"/>
    </row>
    <row r="380" spans="3:63" x14ac:dyDescent="0.2">
      <c r="C380" s="26"/>
      <c r="D380" s="26"/>
      <c r="E380" s="26"/>
      <c r="F380" s="26"/>
      <c r="AV380" s="27"/>
      <c r="AW380" s="27"/>
      <c r="AX380" s="27"/>
      <c r="AY380" s="27"/>
      <c r="AZ380" s="27"/>
      <c r="BA380" s="27"/>
      <c r="BB380" s="26"/>
      <c r="BC380" s="27"/>
      <c r="BD380" s="26"/>
      <c r="BE380" s="27"/>
      <c r="BF380" s="26"/>
      <c r="BH380" s="26"/>
      <c r="BI380" s="26"/>
      <c r="BJ380" s="26"/>
      <c r="BK380" s="26"/>
    </row>
    <row r="381" spans="3:63" x14ac:dyDescent="0.2">
      <c r="C381" s="26"/>
      <c r="D381" s="26"/>
      <c r="E381" s="26"/>
      <c r="F381" s="26"/>
      <c r="AV381" s="27"/>
      <c r="AW381" s="27"/>
      <c r="AX381" s="27"/>
      <c r="AY381" s="27"/>
      <c r="AZ381" s="27"/>
      <c r="BA381" s="27"/>
      <c r="BB381" s="26"/>
      <c r="BC381" s="27"/>
      <c r="BD381" s="26"/>
      <c r="BE381" s="27"/>
      <c r="BF381" s="26"/>
      <c r="BH381" s="26"/>
      <c r="BI381" s="26"/>
      <c r="BJ381" s="26"/>
      <c r="BK381" s="26"/>
    </row>
    <row r="382" spans="3:63" x14ac:dyDescent="0.2">
      <c r="C382" s="26"/>
      <c r="D382" s="26"/>
      <c r="E382" s="26"/>
      <c r="F382" s="26"/>
      <c r="AV382" s="27"/>
      <c r="AW382" s="27"/>
      <c r="AX382" s="27"/>
      <c r="AY382" s="27"/>
      <c r="AZ382" s="27"/>
      <c r="BA382" s="27"/>
      <c r="BB382" s="26"/>
      <c r="BC382" s="27"/>
      <c r="BD382" s="26"/>
      <c r="BE382" s="27"/>
      <c r="BF382" s="26"/>
      <c r="BH382" s="26"/>
      <c r="BI382" s="26"/>
      <c r="BJ382" s="26"/>
      <c r="BK382" s="26"/>
    </row>
    <row r="383" spans="3:63" x14ac:dyDescent="0.2">
      <c r="C383" s="26"/>
      <c r="D383" s="26"/>
      <c r="E383" s="26"/>
      <c r="F383" s="26"/>
      <c r="AV383" s="27"/>
      <c r="AW383" s="27"/>
      <c r="AX383" s="27"/>
      <c r="AY383" s="27"/>
      <c r="AZ383" s="27"/>
      <c r="BA383" s="27"/>
      <c r="BB383" s="26"/>
      <c r="BC383" s="27"/>
      <c r="BD383" s="26"/>
      <c r="BE383" s="27"/>
      <c r="BF383" s="26"/>
      <c r="BH383" s="26"/>
      <c r="BI383" s="26"/>
      <c r="BJ383" s="26"/>
      <c r="BK383" s="26"/>
    </row>
    <row r="384" spans="3:63" x14ac:dyDescent="0.2">
      <c r="C384" s="26"/>
      <c r="D384" s="26"/>
      <c r="E384" s="26"/>
      <c r="F384" s="26"/>
      <c r="AV384" s="27"/>
      <c r="AW384" s="27"/>
      <c r="AX384" s="27"/>
      <c r="AY384" s="27"/>
      <c r="AZ384" s="27"/>
      <c r="BA384" s="27"/>
      <c r="BB384" s="26"/>
      <c r="BC384" s="27"/>
      <c r="BD384" s="26"/>
      <c r="BE384" s="27"/>
      <c r="BF384" s="26"/>
      <c r="BH384" s="26"/>
      <c r="BI384" s="26"/>
      <c r="BJ384" s="26"/>
      <c r="BK384" s="26"/>
    </row>
    <row r="385" spans="3:63" x14ac:dyDescent="0.2">
      <c r="C385" s="26"/>
      <c r="D385" s="26"/>
      <c r="E385" s="26"/>
      <c r="F385" s="26"/>
      <c r="AV385" s="27"/>
      <c r="AW385" s="27"/>
      <c r="AX385" s="27"/>
      <c r="AY385" s="27"/>
      <c r="AZ385" s="27"/>
      <c r="BA385" s="27"/>
      <c r="BB385" s="26"/>
      <c r="BC385" s="27"/>
      <c r="BD385" s="26"/>
      <c r="BE385" s="27"/>
      <c r="BF385" s="26"/>
      <c r="BH385" s="26"/>
      <c r="BI385" s="26"/>
      <c r="BJ385" s="26"/>
      <c r="BK385" s="26"/>
    </row>
    <row r="386" spans="3:63" x14ac:dyDescent="0.2">
      <c r="C386" s="26"/>
      <c r="D386" s="26"/>
      <c r="E386" s="26"/>
      <c r="F386" s="26"/>
      <c r="AV386" s="27"/>
      <c r="AW386" s="27"/>
      <c r="AX386" s="27"/>
      <c r="AY386" s="27"/>
      <c r="AZ386" s="27"/>
      <c r="BA386" s="27"/>
      <c r="BB386" s="26"/>
      <c r="BC386" s="27"/>
      <c r="BD386" s="26"/>
      <c r="BE386" s="27"/>
      <c r="BF386" s="26"/>
      <c r="BH386" s="26"/>
      <c r="BI386" s="26"/>
      <c r="BJ386" s="26"/>
      <c r="BK386" s="26"/>
    </row>
    <row r="387" spans="3:63" x14ac:dyDescent="0.2">
      <c r="C387" s="26"/>
      <c r="D387" s="26"/>
      <c r="E387" s="26"/>
      <c r="F387" s="26"/>
      <c r="AV387" s="27"/>
      <c r="AW387" s="27"/>
      <c r="AX387" s="27"/>
      <c r="AY387" s="27"/>
      <c r="AZ387" s="27"/>
      <c r="BA387" s="27"/>
      <c r="BB387" s="26"/>
      <c r="BC387" s="27"/>
      <c r="BD387" s="26"/>
      <c r="BE387" s="27"/>
      <c r="BF387" s="26"/>
      <c r="BH387" s="26"/>
      <c r="BI387" s="26"/>
      <c r="BJ387" s="26"/>
      <c r="BK387" s="26"/>
    </row>
    <row r="388" spans="3:63" x14ac:dyDescent="0.2">
      <c r="C388" s="26"/>
      <c r="D388" s="26"/>
      <c r="E388" s="26"/>
      <c r="F388" s="26"/>
      <c r="AV388" s="27"/>
      <c r="AW388" s="27"/>
      <c r="AX388" s="27"/>
      <c r="AY388" s="27"/>
      <c r="AZ388" s="27"/>
      <c r="BA388" s="27"/>
      <c r="BB388" s="26"/>
      <c r="BC388" s="27"/>
      <c r="BD388" s="26"/>
      <c r="BE388" s="27"/>
      <c r="BF388" s="26"/>
      <c r="BH388" s="26"/>
      <c r="BI388" s="26"/>
      <c r="BJ388" s="26"/>
      <c r="BK388" s="26"/>
    </row>
    <row r="389" spans="3:63" x14ac:dyDescent="0.2">
      <c r="C389" s="26"/>
      <c r="D389" s="26"/>
      <c r="E389" s="26"/>
      <c r="F389" s="26"/>
      <c r="AV389" s="27"/>
      <c r="AW389" s="27"/>
      <c r="AX389" s="27"/>
      <c r="AY389" s="27"/>
      <c r="AZ389" s="27"/>
      <c r="BA389" s="27"/>
      <c r="BB389" s="26"/>
      <c r="BC389" s="27"/>
      <c r="BD389" s="26"/>
      <c r="BE389" s="27"/>
      <c r="BF389" s="26"/>
      <c r="BH389" s="26"/>
      <c r="BI389" s="26"/>
      <c r="BJ389" s="26"/>
      <c r="BK389" s="26"/>
    </row>
    <row r="390" spans="3:63" x14ac:dyDescent="0.2">
      <c r="C390" s="26"/>
      <c r="D390" s="26"/>
      <c r="E390" s="26"/>
      <c r="F390" s="26"/>
      <c r="AV390" s="27"/>
      <c r="AW390" s="27"/>
      <c r="AX390" s="27"/>
      <c r="AY390" s="27"/>
      <c r="AZ390" s="27"/>
      <c r="BA390" s="27"/>
      <c r="BB390" s="26"/>
      <c r="BC390" s="27"/>
      <c r="BD390" s="26"/>
      <c r="BE390" s="27"/>
      <c r="BF390" s="26"/>
      <c r="BH390" s="26"/>
      <c r="BI390" s="26"/>
      <c r="BJ390" s="26"/>
      <c r="BK390" s="26"/>
    </row>
    <row r="391" spans="3:63" x14ac:dyDescent="0.2">
      <c r="C391" s="26"/>
      <c r="D391" s="26"/>
      <c r="E391" s="26"/>
      <c r="F391" s="26"/>
      <c r="AV391" s="27"/>
      <c r="AW391" s="27"/>
      <c r="AX391" s="27"/>
      <c r="AY391" s="27"/>
      <c r="AZ391" s="27"/>
      <c r="BA391" s="27"/>
      <c r="BB391" s="26"/>
      <c r="BC391" s="27"/>
      <c r="BD391" s="26"/>
      <c r="BE391" s="27"/>
      <c r="BF391" s="26"/>
      <c r="BH391" s="26"/>
      <c r="BI391" s="26"/>
      <c r="BJ391" s="26"/>
      <c r="BK391" s="26"/>
    </row>
    <row r="392" spans="3:63" x14ac:dyDescent="0.2">
      <c r="C392" s="26"/>
      <c r="D392" s="26"/>
      <c r="E392" s="26"/>
      <c r="F392" s="26"/>
      <c r="AV392" s="27"/>
      <c r="AW392" s="27"/>
      <c r="AX392" s="27"/>
      <c r="AY392" s="27"/>
      <c r="AZ392" s="27"/>
      <c r="BA392" s="27"/>
      <c r="BB392" s="26"/>
      <c r="BC392" s="27"/>
      <c r="BD392" s="26"/>
      <c r="BE392" s="27"/>
      <c r="BF392" s="26"/>
      <c r="BH392" s="26"/>
      <c r="BI392" s="26"/>
      <c r="BJ392" s="26"/>
      <c r="BK392" s="26"/>
    </row>
    <row r="393" spans="3:63" x14ac:dyDescent="0.2">
      <c r="C393" s="26"/>
      <c r="D393" s="26"/>
      <c r="E393" s="26"/>
      <c r="F393" s="26"/>
      <c r="AV393" s="27"/>
      <c r="AW393" s="27"/>
      <c r="AX393" s="27"/>
      <c r="AY393" s="27"/>
      <c r="AZ393" s="27"/>
      <c r="BA393" s="27"/>
      <c r="BB393" s="26"/>
      <c r="BC393" s="27"/>
      <c r="BD393" s="26"/>
      <c r="BE393" s="27"/>
      <c r="BF393" s="26"/>
      <c r="BH393" s="26"/>
      <c r="BI393" s="26"/>
      <c r="BJ393" s="26"/>
      <c r="BK393" s="26"/>
    </row>
    <row r="394" spans="3:63" x14ac:dyDescent="0.2">
      <c r="C394" s="26"/>
      <c r="D394" s="26"/>
      <c r="E394" s="26"/>
      <c r="F394" s="26"/>
      <c r="AV394" s="27"/>
      <c r="AW394" s="27"/>
      <c r="AX394" s="27"/>
      <c r="AY394" s="27"/>
      <c r="AZ394" s="27"/>
      <c r="BA394" s="27"/>
      <c r="BB394" s="26"/>
      <c r="BC394" s="27"/>
      <c r="BD394" s="26"/>
      <c r="BE394" s="27"/>
      <c r="BF394" s="26"/>
      <c r="BH394" s="26"/>
      <c r="BI394" s="26"/>
      <c r="BJ394" s="26"/>
      <c r="BK394" s="26"/>
    </row>
    <row r="395" spans="3:63" x14ac:dyDescent="0.2">
      <c r="C395" s="26"/>
      <c r="D395" s="26"/>
      <c r="E395" s="26"/>
      <c r="F395" s="26"/>
      <c r="AV395" s="27"/>
      <c r="AW395" s="27"/>
      <c r="AX395" s="27"/>
      <c r="AY395" s="27"/>
      <c r="AZ395" s="27"/>
      <c r="BA395" s="27"/>
      <c r="BB395" s="26"/>
      <c r="BC395" s="27"/>
      <c r="BD395" s="26"/>
      <c r="BE395" s="27"/>
      <c r="BF395" s="26"/>
      <c r="BH395" s="26"/>
      <c r="BI395" s="26"/>
      <c r="BJ395" s="26"/>
      <c r="BK395" s="26"/>
    </row>
    <row r="396" spans="3:63" x14ac:dyDescent="0.2">
      <c r="C396" s="26"/>
      <c r="D396" s="26"/>
      <c r="E396" s="26"/>
      <c r="F396" s="26"/>
      <c r="AV396" s="27"/>
      <c r="AW396" s="27"/>
      <c r="AX396" s="27"/>
      <c r="AY396" s="27"/>
      <c r="AZ396" s="27"/>
      <c r="BA396" s="27"/>
      <c r="BB396" s="26"/>
      <c r="BC396" s="27"/>
      <c r="BD396" s="26"/>
      <c r="BE396" s="27"/>
      <c r="BF396" s="26"/>
      <c r="BH396" s="26"/>
      <c r="BI396" s="26"/>
      <c r="BJ396" s="26"/>
      <c r="BK396" s="26"/>
    </row>
    <row r="397" spans="3:63" x14ac:dyDescent="0.2">
      <c r="C397" s="26"/>
      <c r="D397" s="26"/>
      <c r="E397" s="26"/>
      <c r="F397" s="26"/>
      <c r="AV397" s="27"/>
      <c r="AW397" s="27"/>
      <c r="AX397" s="27"/>
      <c r="AY397" s="27"/>
      <c r="AZ397" s="27"/>
      <c r="BA397" s="27"/>
      <c r="BB397" s="26"/>
      <c r="BC397" s="27"/>
      <c r="BD397" s="26"/>
      <c r="BE397" s="27"/>
      <c r="BF397" s="26"/>
      <c r="BH397" s="26"/>
      <c r="BI397" s="26"/>
      <c r="BJ397" s="26"/>
      <c r="BK397" s="26"/>
    </row>
    <row r="398" spans="3:63" x14ac:dyDescent="0.2">
      <c r="C398" s="26"/>
      <c r="D398" s="26"/>
      <c r="E398" s="26"/>
      <c r="F398" s="26"/>
      <c r="AV398" s="27"/>
      <c r="AW398" s="27"/>
      <c r="AX398" s="27"/>
      <c r="AY398" s="27"/>
      <c r="AZ398" s="27"/>
      <c r="BA398" s="27"/>
      <c r="BB398" s="26"/>
      <c r="BC398" s="27"/>
      <c r="BD398" s="26"/>
      <c r="BE398" s="27"/>
      <c r="BF398" s="26"/>
      <c r="BH398" s="26"/>
      <c r="BI398" s="26"/>
      <c r="BJ398" s="26"/>
      <c r="BK398" s="26"/>
    </row>
    <row r="399" spans="3:63" x14ac:dyDescent="0.2">
      <c r="C399" s="26"/>
      <c r="D399" s="26"/>
      <c r="E399" s="26"/>
      <c r="F399" s="26"/>
      <c r="AV399" s="27"/>
      <c r="AW399" s="27"/>
      <c r="AX399" s="27"/>
      <c r="AY399" s="27"/>
      <c r="AZ399" s="27"/>
      <c r="BA399" s="27"/>
      <c r="BB399" s="26"/>
      <c r="BC399" s="27"/>
      <c r="BD399" s="26"/>
      <c r="BE399" s="27"/>
      <c r="BF399" s="26"/>
      <c r="BH399" s="26"/>
      <c r="BI399" s="26"/>
      <c r="BJ399" s="26"/>
      <c r="BK399" s="26"/>
    </row>
    <row r="400" spans="3:63" x14ac:dyDescent="0.2">
      <c r="C400" s="26"/>
      <c r="D400" s="26"/>
      <c r="E400" s="26"/>
      <c r="F400" s="26"/>
      <c r="AV400" s="27"/>
      <c r="AW400" s="27"/>
      <c r="AX400" s="27"/>
      <c r="AY400" s="27"/>
      <c r="AZ400" s="27"/>
      <c r="BA400" s="27"/>
      <c r="BB400" s="26"/>
      <c r="BC400" s="27"/>
      <c r="BD400" s="26"/>
      <c r="BE400" s="27"/>
      <c r="BF400" s="26"/>
      <c r="BH400" s="26"/>
      <c r="BI400" s="26"/>
      <c r="BJ400" s="26"/>
      <c r="BK400" s="26"/>
    </row>
    <row r="401" spans="3:63" x14ac:dyDescent="0.2">
      <c r="C401" s="26"/>
      <c r="D401" s="26"/>
      <c r="E401" s="26"/>
      <c r="F401" s="26"/>
      <c r="AV401" s="27"/>
      <c r="AW401" s="27"/>
      <c r="AX401" s="27"/>
      <c r="AY401" s="27"/>
      <c r="AZ401" s="27"/>
      <c r="BA401" s="27"/>
      <c r="BB401" s="26"/>
      <c r="BC401" s="27"/>
      <c r="BD401" s="26"/>
      <c r="BE401" s="27"/>
      <c r="BF401" s="26"/>
      <c r="BH401" s="26"/>
      <c r="BI401" s="26"/>
      <c r="BJ401" s="26"/>
      <c r="BK401" s="26"/>
    </row>
    <row r="402" spans="3:63" x14ac:dyDescent="0.2">
      <c r="C402" s="26"/>
      <c r="D402" s="26"/>
      <c r="E402" s="26"/>
      <c r="F402" s="26"/>
      <c r="AV402" s="27"/>
      <c r="AW402" s="27"/>
      <c r="AX402" s="27"/>
      <c r="AY402" s="27"/>
      <c r="AZ402" s="27"/>
      <c r="BA402" s="27"/>
      <c r="BB402" s="26"/>
      <c r="BC402" s="27"/>
      <c r="BD402" s="26"/>
      <c r="BE402" s="27"/>
      <c r="BF402" s="26"/>
      <c r="BH402" s="26"/>
      <c r="BI402" s="26"/>
      <c r="BJ402" s="26"/>
      <c r="BK402" s="26"/>
    </row>
    <row r="403" spans="3:63" x14ac:dyDescent="0.2">
      <c r="C403" s="26"/>
      <c r="D403" s="26"/>
      <c r="E403" s="26"/>
      <c r="F403" s="26"/>
      <c r="AV403" s="27"/>
      <c r="AW403" s="27"/>
      <c r="AX403" s="27"/>
      <c r="AY403" s="27"/>
      <c r="AZ403" s="27"/>
      <c r="BA403" s="27"/>
      <c r="BB403" s="26"/>
      <c r="BC403" s="27"/>
      <c r="BD403" s="26"/>
      <c r="BE403" s="27"/>
      <c r="BF403" s="26"/>
      <c r="BH403" s="26"/>
      <c r="BI403" s="26"/>
      <c r="BJ403" s="26"/>
      <c r="BK403" s="26"/>
    </row>
    <row r="404" spans="3:63" x14ac:dyDescent="0.2">
      <c r="C404" s="26"/>
      <c r="D404" s="26"/>
      <c r="E404" s="26"/>
      <c r="F404" s="26"/>
      <c r="AV404" s="27"/>
      <c r="AW404" s="27"/>
      <c r="AX404" s="27"/>
      <c r="AY404" s="27"/>
      <c r="AZ404" s="27"/>
      <c r="BA404" s="27"/>
      <c r="BB404" s="26"/>
      <c r="BC404" s="27"/>
      <c r="BD404" s="26"/>
      <c r="BE404" s="27"/>
      <c r="BF404" s="26"/>
      <c r="BH404" s="26"/>
      <c r="BI404" s="26"/>
      <c r="BJ404" s="26"/>
      <c r="BK404" s="26"/>
    </row>
    <row r="405" spans="3:63" x14ac:dyDescent="0.2">
      <c r="C405" s="26"/>
      <c r="D405" s="26"/>
      <c r="E405" s="26"/>
      <c r="F405" s="26"/>
      <c r="AV405" s="27"/>
      <c r="AW405" s="27"/>
      <c r="AX405" s="27"/>
      <c r="AY405" s="27"/>
      <c r="AZ405" s="27"/>
      <c r="BA405" s="27"/>
      <c r="BB405" s="26"/>
      <c r="BC405" s="27"/>
      <c r="BD405" s="26"/>
      <c r="BE405" s="27"/>
      <c r="BF405" s="26"/>
      <c r="BH405" s="26"/>
      <c r="BI405" s="26"/>
      <c r="BJ405" s="26"/>
      <c r="BK405" s="26"/>
    </row>
    <row r="406" spans="3:63" x14ac:dyDescent="0.2">
      <c r="C406" s="26"/>
      <c r="D406" s="26"/>
      <c r="E406" s="26"/>
      <c r="F406" s="26"/>
      <c r="AV406" s="27"/>
      <c r="AW406" s="27"/>
      <c r="AX406" s="27"/>
      <c r="AY406" s="27"/>
      <c r="AZ406" s="27"/>
      <c r="BA406" s="27"/>
      <c r="BB406" s="26"/>
      <c r="BC406" s="27"/>
      <c r="BD406" s="26"/>
      <c r="BE406" s="27"/>
      <c r="BF406" s="26"/>
      <c r="BH406" s="26"/>
      <c r="BI406" s="26"/>
      <c r="BJ406" s="26"/>
      <c r="BK406" s="26"/>
    </row>
    <row r="407" spans="3:63" x14ac:dyDescent="0.2">
      <c r="C407" s="26"/>
      <c r="D407" s="26"/>
      <c r="E407" s="26"/>
      <c r="F407" s="26"/>
      <c r="AV407" s="27"/>
      <c r="AW407" s="27"/>
      <c r="AX407" s="27"/>
      <c r="AY407" s="27"/>
      <c r="AZ407" s="27"/>
      <c r="BA407" s="27"/>
      <c r="BB407" s="26"/>
      <c r="BC407" s="27"/>
      <c r="BD407" s="26"/>
      <c r="BE407" s="27"/>
      <c r="BF407" s="26"/>
      <c r="BH407" s="26"/>
      <c r="BI407" s="26"/>
      <c r="BJ407" s="26"/>
      <c r="BK407" s="26"/>
    </row>
    <row r="408" spans="3:63" x14ac:dyDescent="0.2">
      <c r="C408" s="26"/>
      <c r="D408" s="26"/>
      <c r="E408" s="26"/>
      <c r="F408" s="26"/>
      <c r="AV408" s="27"/>
      <c r="AW408" s="27"/>
      <c r="AX408" s="27"/>
      <c r="AY408" s="27"/>
      <c r="AZ408" s="27"/>
      <c r="BA408" s="27"/>
      <c r="BB408" s="26"/>
      <c r="BC408" s="27"/>
      <c r="BD408" s="26"/>
      <c r="BE408" s="27"/>
      <c r="BF408" s="26"/>
      <c r="BH408" s="26"/>
      <c r="BI408" s="26"/>
      <c r="BJ408" s="26"/>
      <c r="BK408" s="26"/>
    </row>
    <row r="409" spans="3:63" x14ac:dyDescent="0.2">
      <c r="C409" s="26"/>
      <c r="D409" s="26"/>
      <c r="E409" s="26"/>
      <c r="F409" s="26"/>
      <c r="AV409" s="27"/>
      <c r="AW409" s="27"/>
      <c r="AX409" s="27"/>
      <c r="AY409" s="27"/>
      <c r="AZ409" s="27"/>
      <c r="BA409" s="27"/>
      <c r="BB409" s="26"/>
      <c r="BC409" s="27"/>
      <c r="BD409" s="26"/>
      <c r="BE409" s="27"/>
      <c r="BF409" s="26"/>
      <c r="BH409" s="26"/>
      <c r="BI409" s="26"/>
      <c r="BJ409" s="26"/>
      <c r="BK409" s="26"/>
    </row>
    <row r="410" spans="3:63" x14ac:dyDescent="0.2">
      <c r="C410" s="26"/>
      <c r="D410" s="26"/>
      <c r="E410" s="26"/>
      <c r="F410" s="26"/>
      <c r="AV410" s="27"/>
      <c r="AW410" s="27"/>
      <c r="AX410" s="27"/>
      <c r="AY410" s="27"/>
      <c r="AZ410" s="27"/>
      <c r="BA410" s="27"/>
      <c r="BB410" s="26"/>
      <c r="BC410" s="27"/>
      <c r="BD410" s="26"/>
      <c r="BE410" s="27"/>
      <c r="BF410" s="26"/>
      <c r="BH410" s="26"/>
      <c r="BI410" s="26"/>
      <c r="BJ410" s="26"/>
      <c r="BK410" s="26"/>
    </row>
    <row r="411" spans="3:63" x14ac:dyDescent="0.2">
      <c r="C411" s="26"/>
      <c r="D411" s="26"/>
      <c r="E411" s="26"/>
      <c r="F411" s="26"/>
      <c r="AV411" s="27"/>
      <c r="AW411" s="27"/>
      <c r="AX411" s="27"/>
      <c r="AY411" s="27"/>
      <c r="AZ411" s="27"/>
      <c r="BA411" s="27"/>
      <c r="BB411" s="26"/>
      <c r="BC411" s="27"/>
      <c r="BD411" s="26"/>
      <c r="BE411" s="27"/>
      <c r="BF411" s="26"/>
      <c r="BH411" s="26"/>
      <c r="BI411" s="26"/>
      <c r="BJ411" s="26"/>
      <c r="BK411" s="26"/>
    </row>
    <row r="412" spans="3:63" x14ac:dyDescent="0.2">
      <c r="C412" s="26"/>
      <c r="D412" s="26"/>
      <c r="E412" s="26"/>
      <c r="F412" s="26"/>
      <c r="AV412" s="27"/>
      <c r="AW412" s="27"/>
      <c r="AX412" s="27"/>
      <c r="AY412" s="27"/>
      <c r="AZ412" s="27"/>
      <c r="BA412" s="27"/>
      <c r="BB412" s="26"/>
      <c r="BC412" s="27"/>
      <c r="BD412" s="26"/>
      <c r="BE412" s="27"/>
      <c r="BF412" s="26"/>
      <c r="BH412" s="26"/>
      <c r="BI412" s="26"/>
      <c r="BJ412" s="26"/>
      <c r="BK412" s="26"/>
    </row>
    <row r="413" spans="3:63" x14ac:dyDescent="0.2">
      <c r="C413" s="26"/>
      <c r="D413" s="26"/>
      <c r="E413" s="26"/>
      <c r="F413" s="26"/>
      <c r="AV413" s="27"/>
      <c r="AW413" s="27"/>
      <c r="AX413" s="27"/>
      <c r="AY413" s="27"/>
      <c r="AZ413" s="27"/>
      <c r="BA413" s="27"/>
      <c r="BB413" s="26"/>
      <c r="BC413" s="27"/>
      <c r="BD413" s="26"/>
      <c r="BE413" s="27"/>
      <c r="BF413" s="26"/>
      <c r="BH413" s="26"/>
      <c r="BI413" s="26"/>
      <c r="BJ413" s="26"/>
      <c r="BK413" s="26"/>
    </row>
    <row r="414" spans="3:63" x14ac:dyDescent="0.2">
      <c r="C414" s="26"/>
      <c r="D414" s="26"/>
      <c r="E414" s="26"/>
      <c r="F414" s="26"/>
      <c r="AV414" s="27"/>
      <c r="AW414" s="27"/>
      <c r="AX414" s="27"/>
      <c r="AY414" s="27"/>
      <c r="AZ414" s="27"/>
      <c r="BA414" s="27"/>
      <c r="BB414" s="26"/>
      <c r="BC414" s="27"/>
      <c r="BD414" s="26"/>
      <c r="BE414" s="27"/>
      <c r="BF414" s="26"/>
      <c r="BH414" s="26"/>
      <c r="BI414" s="26"/>
      <c r="BJ414" s="26"/>
      <c r="BK414" s="26"/>
    </row>
    <row r="415" spans="3:63" x14ac:dyDescent="0.2">
      <c r="C415" s="26"/>
      <c r="D415" s="26"/>
      <c r="E415" s="26"/>
      <c r="F415" s="26"/>
      <c r="AV415" s="27"/>
      <c r="AW415" s="27"/>
      <c r="AX415" s="27"/>
      <c r="AY415" s="27"/>
      <c r="AZ415" s="27"/>
      <c r="BA415" s="27"/>
      <c r="BB415" s="26"/>
      <c r="BC415" s="27"/>
      <c r="BD415" s="26"/>
      <c r="BE415" s="27"/>
      <c r="BF415" s="26"/>
      <c r="BH415" s="26"/>
      <c r="BI415" s="26"/>
      <c r="BJ415" s="26"/>
      <c r="BK415" s="26"/>
    </row>
    <row r="416" spans="3:63" x14ac:dyDescent="0.2">
      <c r="C416" s="26"/>
      <c r="D416" s="26"/>
      <c r="E416" s="26"/>
      <c r="F416" s="26"/>
      <c r="AV416" s="27"/>
      <c r="AW416" s="27"/>
      <c r="AX416" s="27"/>
      <c r="AY416" s="27"/>
      <c r="AZ416" s="27"/>
      <c r="BA416" s="27"/>
      <c r="BB416" s="26"/>
      <c r="BC416" s="27"/>
      <c r="BD416" s="26"/>
      <c r="BE416" s="27"/>
      <c r="BF416" s="26"/>
      <c r="BH416" s="26"/>
      <c r="BI416" s="26"/>
      <c r="BJ416" s="26"/>
      <c r="BK416" s="26"/>
    </row>
    <row r="417" spans="3:63" x14ac:dyDescent="0.2">
      <c r="C417" s="26"/>
      <c r="D417" s="26"/>
      <c r="E417" s="26"/>
      <c r="F417" s="26"/>
      <c r="AV417" s="27"/>
      <c r="AW417" s="27"/>
      <c r="AX417" s="27"/>
      <c r="AY417" s="27"/>
      <c r="AZ417" s="27"/>
      <c r="BA417" s="27"/>
      <c r="BB417" s="26"/>
      <c r="BC417" s="27"/>
      <c r="BD417" s="26"/>
      <c r="BE417" s="27"/>
      <c r="BF417" s="26"/>
      <c r="BH417" s="26"/>
      <c r="BI417" s="26"/>
      <c r="BJ417" s="26"/>
      <c r="BK417" s="26"/>
    </row>
    <row r="418" spans="3:63" x14ac:dyDescent="0.2">
      <c r="C418" s="26"/>
      <c r="D418" s="26"/>
      <c r="E418" s="26"/>
      <c r="F418" s="26"/>
      <c r="AV418" s="27"/>
      <c r="AW418" s="27"/>
      <c r="AX418" s="27"/>
      <c r="AY418" s="27"/>
      <c r="AZ418" s="27"/>
      <c r="BA418" s="27"/>
      <c r="BB418" s="26"/>
      <c r="BC418" s="27"/>
      <c r="BD418" s="26"/>
      <c r="BE418" s="27"/>
      <c r="BF418" s="26"/>
      <c r="BH418" s="26"/>
      <c r="BI418" s="26"/>
      <c r="BJ418" s="26"/>
      <c r="BK418" s="26"/>
    </row>
    <row r="419" spans="3:63" x14ac:dyDescent="0.2">
      <c r="C419" s="26"/>
      <c r="D419" s="26"/>
      <c r="E419" s="26"/>
      <c r="F419" s="26"/>
      <c r="AV419" s="27"/>
      <c r="AW419" s="27"/>
      <c r="AX419" s="27"/>
      <c r="AY419" s="27"/>
      <c r="AZ419" s="27"/>
      <c r="BA419" s="27"/>
      <c r="BB419" s="26"/>
      <c r="BC419" s="27"/>
      <c r="BD419" s="26"/>
      <c r="BE419" s="27"/>
      <c r="BF419" s="26"/>
      <c r="BH419" s="26"/>
      <c r="BI419" s="26"/>
      <c r="BJ419" s="26"/>
      <c r="BK419" s="26"/>
    </row>
    <row r="420" spans="3:63" x14ac:dyDescent="0.2">
      <c r="C420" s="26"/>
      <c r="D420" s="26"/>
      <c r="E420" s="26"/>
      <c r="F420" s="26"/>
      <c r="AV420" s="27"/>
      <c r="AW420" s="27"/>
      <c r="AX420" s="27"/>
      <c r="AY420" s="27"/>
      <c r="AZ420" s="27"/>
      <c r="BA420" s="27"/>
      <c r="BB420" s="26"/>
      <c r="BC420" s="27"/>
      <c r="BD420" s="26"/>
      <c r="BE420" s="27"/>
      <c r="BF420" s="26"/>
      <c r="BH420" s="26"/>
      <c r="BI420" s="26"/>
      <c r="BJ420" s="26"/>
      <c r="BK420" s="26"/>
    </row>
    <row r="421" spans="3:63" x14ac:dyDescent="0.2">
      <c r="C421" s="26"/>
      <c r="D421" s="26"/>
      <c r="E421" s="26"/>
      <c r="F421" s="26"/>
      <c r="AV421" s="27"/>
      <c r="AW421" s="27"/>
      <c r="AX421" s="27"/>
      <c r="AY421" s="27"/>
      <c r="AZ421" s="27"/>
      <c r="BA421" s="27"/>
      <c r="BB421" s="26"/>
      <c r="BC421" s="27"/>
      <c r="BD421" s="26"/>
      <c r="BE421" s="27"/>
      <c r="BF421" s="26"/>
      <c r="BH421" s="26"/>
      <c r="BI421" s="26"/>
      <c r="BJ421" s="26"/>
      <c r="BK421" s="26"/>
    </row>
    <row r="422" spans="3:63" x14ac:dyDescent="0.2">
      <c r="C422" s="26"/>
      <c r="D422" s="26"/>
      <c r="E422" s="26"/>
      <c r="F422" s="26"/>
      <c r="AV422" s="27"/>
      <c r="AW422" s="27"/>
      <c r="AX422" s="27"/>
      <c r="AY422" s="27"/>
      <c r="AZ422" s="27"/>
      <c r="BA422" s="27"/>
      <c r="BB422" s="26"/>
      <c r="BC422" s="27"/>
      <c r="BD422" s="26"/>
      <c r="BE422" s="27"/>
      <c r="BF422" s="26"/>
      <c r="BH422" s="26"/>
      <c r="BI422" s="26"/>
      <c r="BJ422" s="26"/>
      <c r="BK422" s="26"/>
    </row>
    <row r="423" spans="3:63" x14ac:dyDescent="0.2">
      <c r="C423" s="26"/>
      <c r="D423" s="26"/>
      <c r="E423" s="26"/>
      <c r="F423" s="26"/>
      <c r="AV423" s="27"/>
      <c r="AW423" s="27"/>
      <c r="AX423" s="27"/>
      <c r="AY423" s="27"/>
      <c r="AZ423" s="27"/>
      <c r="BA423" s="27"/>
      <c r="BB423" s="26"/>
      <c r="BC423" s="27"/>
      <c r="BD423" s="26"/>
      <c r="BE423" s="27"/>
      <c r="BF423" s="26"/>
      <c r="BH423" s="26"/>
      <c r="BI423" s="26"/>
      <c r="BJ423" s="26"/>
      <c r="BK423" s="26"/>
    </row>
    <row r="424" spans="3:63" x14ac:dyDescent="0.2">
      <c r="C424" s="26"/>
      <c r="D424" s="26"/>
      <c r="E424" s="26"/>
      <c r="F424" s="26"/>
      <c r="AV424" s="27"/>
      <c r="AW424" s="27"/>
      <c r="AX424" s="27"/>
      <c r="AY424" s="27"/>
      <c r="AZ424" s="27"/>
      <c r="BA424" s="27"/>
      <c r="BB424" s="26"/>
      <c r="BC424" s="27"/>
      <c r="BD424" s="26"/>
      <c r="BE424" s="27"/>
      <c r="BF424" s="26"/>
      <c r="BH424" s="26"/>
      <c r="BI424" s="26"/>
      <c r="BJ424" s="26"/>
      <c r="BK424" s="26"/>
    </row>
    <row r="425" spans="3:63" x14ac:dyDescent="0.2">
      <c r="C425" s="26"/>
      <c r="D425" s="26"/>
      <c r="E425" s="26"/>
      <c r="F425" s="26"/>
      <c r="AV425" s="27"/>
      <c r="AW425" s="27"/>
      <c r="AX425" s="27"/>
      <c r="AY425" s="27"/>
      <c r="AZ425" s="27"/>
      <c r="BA425" s="27"/>
      <c r="BB425" s="26"/>
      <c r="BC425" s="27"/>
      <c r="BD425" s="26"/>
      <c r="BE425" s="27"/>
      <c r="BF425" s="26"/>
      <c r="BH425" s="26"/>
      <c r="BI425" s="26"/>
      <c r="BJ425" s="26"/>
      <c r="BK425" s="26"/>
    </row>
    <row r="426" spans="3:63" x14ac:dyDescent="0.2">
      <c r="C426" s="26"/>
      <c r="D426" s="26"/>
      <c r="E426" s="26"/>
      <c r="F426" s="26"/>
      <c r="AV426" s="27"/>
      <c r="AW426" s="27"/>
      <c r="AX426" s="27"/>
      <c r="AY426" s="27"/>
      <c r="AZ426" s="27"/>
      <c r="BA426" s="27"/>
      <c r="BB426" s="26"/>
      <c r="BC426" s="27"/>
      <c r="BD426" s="26"/>
      <c r="BE426" s="27"/>
      <c r="BF426" s="26"/>
      <c r="BH426" s="26"/>
      <c r="BI426" s="26"/>
      <c r="BJ426" s="26"/>
      <c r="BK426" s="26"/>
    </row>
    <row r="427" spans="3:63" x14ac:dyDescent="0.2">
      <c r="C427" s="26"/>
      <c r="D427" s="26"/>
      <c r="E427" s="26"/>
      <c r="F427" s="26"/>
      <c r="AV427" s="27"/>
      <c r="AW427" s="27"/>
      <c r="AX427" s="27"/>
      <c r="AY427" s="27"/>
      <c r="AZ427" s="27"/>
      <c r="BA427" s="27"/>
      <c r="BB427" s="26"/>
      <c r="BC427" s="27"/>
      <c r="BD427" s="26"/>
      <c r="BE427" s="27"/>
      <c r="BF427" s="26"/>
      <c r="BH427" s="26"/>
      <c r="BI427" s="26"/>
      <c r="BJ427" s="26"/>
      <c r="BK427" s="26"/>
    </row>
    <row r="428" spans="3:63" x14ac:dyDescent="0.2">
      <c r="C428" s="26"/>
      <c r="D428" s="26"/>
      <c r="E428" s="26"/>
      <c r="F428" s="26"/>
      <c r="AV428" s="27"/>
      <c r="AW428" s="27"/>
      <c r="AX428" s="27"/>
      <c r="AY428" s="27"/>
      <c r="AZ428" s="27"/>
      <c r="BA428" s="27"/>
      <c r="BB428" s="26"/>
      <c r="BC428" s="27"/>
      <c r="BD428" s="26"/>
      <c r="BE428" s="27"/>
      <c r="BF428" s="26"/>
      <c r="BH428" s="26"/>
      <c r="BI428" s="26"/>
      <c r="BJ428" s="26"/>
      <c r="BK428" s="26"/>
    </row>
    <row r="429" spans="3:63" x14ac:dyDescent="0.2">
      <c r="C429" s="26"/>
      <c r="D429" s="26"/>
      <c r="E429" s="26"/>
      <c r="F429" s="26"/>
      <c r="AV429" s="27"/>
      <c r="AW429" s="27"/>
      <c r="AX429" s="27"/>
      <c r="AY429" s="27"/>
      <c r="AZ429" s="27"/>
      <c r="BA429" s="27"/>
      <c r="BB429" s="26"/>
      <c r="BC429" s="27"/>
      <c r="BD429" s="26"/>
      <c r="BE429" s="27"/>
      <c r="BF429" s="26"/>
      <c r="BH429" s="26"/>
      <c r="BI429" s="26"/>
      <c r="BJ429" s="26"/>
      <c r="BK429" s="26"/>
    </row>
    <row r="430" spans="3:63" x14ac:dyDescent="0.2">
      <c r="C430" s="26"/>
      <c r="D430" s="26"/>
      <c r="E430" s="26"/>
      <c r="F430" s="26"/>
      <c r="AV430" s="27"/>
      <c r="AW430" s="27"/>
      <c r="AX430" s="27"/>
      <c r="AY430" s="27"/>
      <c r="AZ430" s="27"/>
      <c r="BA430" s="27"/>
      <c r="BB430" s="26"/>
      <c r="BC430" s="27"/>
      <c r="BD430" s="26"/>
      <c r="BE430" s="27"/>
      <c r="BF430" s="26"/>
      <c r="BH430" s="26"/>
      <c r="BI430" s="26"/>
      <c r="BJ430" s="26"/>
      <c r="BK430" s="26"/>
    </row>
    <row r="431" spans="3:63" x14ac:dyDescent="0.2">
      <c r="C431" s="26"/>
      <c r="D431" s="26"/>
      <c r="E431" s="26"/>
      <c r="F431" s="26"/>
      <c r="AV431" s="27"/>
      <c r="AW431" s="27"/>
      <c r="AX431" s="27"/>
      <c r="AY431" s="27"/>
      <c r="AZ431" s="27"/>
      <c r="BA431" s="27"/>
      <c r="BB431" s="26"/>
      <c r="BC431" s="27"/>
      <c r="BD431" s="26"/>
      <c r="BE431" s="27"/>
      <c r="BF431" s="26"/>
      <c r="BH431" s="26"/>
      <c r="BI431" s="26"/>
      <c r="BJ431" s="26"/>
      <c r="BK431" s="26"/>
    </row>
    <row r="432" spans="3:63" x14ac:dyDescent="0.2">
      <c r="C432" s="26"/>
      <c r="D432" s="26"/>
      <c r="E432" s="26"/>
      <c r="F432" s="26"/>
      <c r="AV432" s="27"/>
      <c r="AW432" s="27"/>
      <c r="AX432" s="27"/>
      <c r="AY432" s="27"/>
      <c r="AZ432" s="27"/>
      <c r="BA432" s="27"/>
      <c r="BB432" s="26"/>
      <c r="BC432" s="27"/>
      <c r="BD432" s="26"/>
      <c r="BE432" s="27"/>
      <c r="BF432" s="26"/>
      <c r="BH432" s="26"/>
      <c r="BI432" s="26"/>
      <c r="BJ432" s="26"/>
      <c r="BK432" s="26"/>
    </row>
    <row r="433" spans="3:63" x14ac:dyDescent="0.2">
      <c r="C433" s="26"/>
      <c r="D433" s="26"/>
      <c r="E433" s="26"/>
      <c r="F433" s="26"/>
      <c r="AV433" s="27"/>
      <c r="AW433" s="27"/>
      <c r="AX433" s="27"/>
      <c r="AY433" s="27"/>
      <c r="AZ433" s="27"/>
      <c r="BA433" s="27"/>
      <c r="BB433" s="26"/>
      <c r="BC433" s="27"/>
      <c r="BD433" s="26"/>
      <c r="BE433" s="27"/>
      <c r="BF433" s="26"/>
      <c r="BH433" s="26"/>
      <c r="BI433" s="26"/>
      <c r="BJ433" s="26"/>
      <c r="BK433" s="26"/>
    </row>
    <row r="434" spans="3:63" x14ac:dyDescent="0.2">
      <c r="C434" s="26"/>
      <c r="D434" s="26"/>
      <c r="E434" s="26"/>
      <c r="F434" s="26"/>
      <c r="AV434" s="27"/>
      <c r="AW434" s="27"/>
      <c r="AX434" s="27"/>
      <c r="AY434" s="27"/>
      <c r="AZ434" s="27"/>
      <c r="BA434" s="27"/>
      <c r="BB434" s="26"/>
      <c r="BC434" s="27"/>
      <c r="BD434" s="26"/>
      <c r="BE434" s="27"/>
      <c r="BF434" s="26"/>
      <c r="BH434" s="26"/>
      <c r="BI434" s="26"/>
      <c r="BJ434" s="26"/>
      <c r="BK434" s="26"/>
    </row>
    <row r="435" spans="3:63" x14ac:dyDescent="0.2">
      <c r="C435" s="26"/>
      <c r="D435" s="26"/>
      <c r="E435" s="26"/>
      <c r="F435" s="26"/>
      <c r="AV435" s="27"/>
      <c r="AW435" s="27"/>
      <c r="AX435" s="27"/>
      <c r="AY435" s="27"/>
      <c r="AZ435" s="27"/>
      <c r="BA435" s="27"/>
      <c r="BB435" s="26"/>
      <c r="BC435" s="27"/>
      <c r="BD435" s="26"/>
      <c r="BE435" s="27"/>
      <c r="BF435" s="26"/>
      <c r="BH435" s="26"/>
      <c r="BI435" s="26"/>
      <c r="BJ435" s="26"/>
      <c r="BK435" s="26"/>
    </row>
    <row r="436" spans="3:63" x14ac:dyDescent="0.2">
      <c r="C436" s="26"/>
      <c r="D436" s="26"/>
      <c r="E436" s="26"/>
      <c r="F436" s="26"/>
      <c r="AV436" s="27"/>
      <c r="AW436" s="27"/>
      <c r="AX436" s="27"/>
      <c r="AY436" s="27"/>
      <c r="AZ436" s="27"/>
      <c r="BA436" s="27"/>
      <c r="BB436" s="26"/>
      <c r="BC436" s="27"/>
      <c r="BD436" s="26"/>
      <c r="BE436" s="27"/>
      <c r="BF436" s="26"/>
      <c r="BH436" s="26"/>
      <c r="BI436" s="26"/>
      <c r="BJ436" s="26"/>
      <c r="BK436" s="26"/>
    </row>
    <row r="437" spans="3:63" x14ac:dyDescent="0.2">
      <c r="C437" s="26"/>
      <c r="D437" s="26"/>
      <c r="E437" s="26"/>
      <c r="F437" s="26"/>
      <c r="AV437" s="27"/>
      <c r="AW437" s="27"/>
      <c r="AX437" s="27"/>
      <c r="AY437" s="27"/>
      <c r="AZ437" s="27"/>
      <c r="BA437" s="27"/>
      <c r="BB437" s="26"/>
      <c r="BC437" s="27"/>
      <c r="BD437" s="26"/>
      <c r="BE437" s="27"/>
      <c r="BF437" s="26"/>
      <c r="BH437" s="26"/>
      <c r="BI437" s="26"/>
      <c r="BJ437" s="26"/>
      <c r="BK437" s="26"/>
    </row>
    <row r="438" spans="3:63" x14ac:dyDescent="0.2">
      <c r="C438" s="26"/>
      <c r="D438" s="26"/>
      <c r="E438" s="26"/>
      <c r="F438" s="26"/>
      <c r="AV438" s="27"/>
      <c r="AW438" s="27"/>
      <c r="AX438" s="27"/>
      <c r="AY438" s="27"/>
      <c r="AZ438" s="27"/>
      <c r="BA438" s="27"/>
      <c r="BB438" s="26"/>
      <c r="BC438" s="27"/>
      <c r="BD438" s="26"/>
      <c r="BE438" s="27"/>
      <c r="BF438" s="26"/>
      <c r="BH438" s="26"/>
      <c r="BI438" s="26"/>
      <c r="BJ438" s="26"/>
      <c r="BK438" s="26"/>
    </row>
    <row r="439" spans="3:63" x14ac:dyDescent="0.2">
      <c r="C439" s="26"/>
      <c r="D439" s="26"/>
      <c r="E439" s="26"/>
      <c r="F439" s="26"/>
      <c r="AV439" s="27"/>
      <c r="AW439" s="27"/>
      <c r="AX439" s="27"/>
      <c r="AY439" s="27"/>
      <c r="AZ439" s="27"/>
      <c r="BA439" s="27"/>
      <c r="BB439" s="26"/>
      <c r="BC439" s="27"/>
      <c r="BD439" s="26"/>
      <c r="BE439" s="27"/>
      <c r="BF439" s="26"/>
      <c r="BH439" s="26"/>
      <c r="BI439" s="26"/>
      <c r="BJ439" s="26"/>
      <c r="BK439" s="26"/>
    </row>
    <row r="440" spans="3:63" x14ac:dyDescent="0.2">
      <c r="C440" s="26"/>
      <c r="D440" s="26"/>
      <c r="E440" s="26"/>
      <c r="F440" s="26"/>
      <c r="AV440" s="27"/>
      <c r="AW440" s="27"/>
      <c r="AX440" s="27"/>
      <c r="AY440" s="27"/>
      <c r="AZ440" s="27"/>
      <c r="BA440" s="27"/>
      <c r="BB440" s="26"/>
      <c r="BC440" s="27"/>
      <c r="BD440" s="26"/>
      <c r="BE440" s="27"/>
      <c r="BF440" s="26"/>
      <c r="BH440" s="26"/>
      <c r="BI440" s="26"/>
      <c r="BJ440" s="26"/>
      <c r="BK440" s="26"/>
    </row>
    <row r="441" spans="3:63" x14ac:dyDescent="0.2">
      <c r="C441" s="26"/>
      <c r="D441" s="26"/>
      <c r="E441" s="26"/>
      <c r="F441" s="26"/>
      <c r="AV441" s="27"/>
      <c r="AW441" s="27"/>
      <c r="AX441" s="27"/>
      <c r="AY441" s="27"/>
      <c r="AZ441" s="27"/>
      <c r="BA441" s="27"/>
      <c r="BB441" s="26"/>
      <c r="BC441" s="27"/>
      <c r="BD441" s="26"/>
      <c r="BE441" s="27"/>
      <c r="BF441" s="26"/>
      <c r="BH441" s="26"/>
      <c r="BI441" s="26"/>
      <c r="BJ441" s="26"/>
      <c r="BK441" s="26"/>
    </row>
    <row r="442" spans="3:63" x14ac:dyDescent="0.2">
      <c r="C442" s="26"/>
      <c r="D442" s="26"/>
      <c r="E442" s="26"/>
      <c r="F442" s="26"/>
      <c r="AV442" s="27"/>
      <c r="AW442" s="27"/>
      <c r="AX442" s="27"/>
      <c r="AY442" s="27"/>
      <c r="AZ442" s="27"/>
      <c r="BA442" s="27"/>
      <c r="BB442" s="26"/>
      <c r="BC442" s="27"/>
      <c r="BD442" s="26"/>
      <c r="BE442" s="27"/>
      <c r="BF442" s="26"/>
      <c r="BH442" s="26"/>
      <c r="BI442" s="26"/>
      <c r="BJ442" s="26"/>
      <c r="BK442" s="26"/>
    </row>
    <row r="443" spans="3:63" x14ac:dyDescent="0.2">
      <c r="C443" s="26"/>
      <c r="D443" s="26"/>
      <c r="E443" s="26"/>
      <c r="F443" s="26"/>
      <c r="AV443" s="27"/>
      <c r="AW443" s="27"/>
      <c r="AX443" s="27"/>
      <c r="AY443" s="27"/>
      <c r="AZ443" s="27"/>
      <c r="BA443" s="27"/>
      <c r="BB443" s="26"/>
      <c r="BC443" s="27"/>
      <c r="BD443" s="26"/>
      <c r="BE443" s="27"/>
      <c r="BF443" s="26"/>
      <c r="BH443" s="26"/>
      <c r="BI443" s="26"/>
      <c r="BJ443" s="26"/>
      <c r="BK443" s="26"/>
    </row>
    <row r="444" spans="3:63" x14ac:dyDescent="0.2">
      <c r="C444" s="26"/>
      <c r="D444" s="26"/>
      <c r="E444" s="26"/>
      <c r="F444" s="26"/>
      <c r="AV444" s="27"/>
      <c r="AW444" s="27"/>
      <c r="AX444" s="27"/>
      <c r="AY444" s="27"/>
      <c r="AZ444" s="27"/>
      <c r="BA444" s="27"/>
      <c r="BB444" s="26"/>
      <c r="BC444" s="27"/>
      <c r="BD444" s="26"/>
      <c r="BE444" s="27"/>
      <c r="BF444" s="26"/>
      <c r="BH444" s="26"/>
      <c r="BI444" s="26"/>
      <c r="BJ444" s="26"/>
      <c r="BK444" s="26"/>
    </row>
    <row r="445" spans="3:63" x14ac:dyDescent="0.2">
      <c r="C445" s="26"/>
      <c r="D445" s="26"/>
      <c r="E445" s="26"/>
      <c r="F445" s="26"/>
      <c r="AV445" s="27"/>
      <c r="AW445" s="27"/>
      <c r="AX445" s="27"/>
      <c r="AY445" s="27"/>
      <c r="AZ445" s="27"/>
      <c r="BA445" s="27"/>
      <c r="BB445" s="26"/>
      <c r="BC445" s="27"/>
      <c r="BD445" s="26"/>
      <c r="BE445" s="27"/>
      <c r="BF445" s="26"/>
      <c r="BH445" s="26"/>
      <c r="BI445" s="26"/>
      <c r="BJ445" s="26"/>
      <c r="BK445" s="26"/>
    </row>
    <row r="446" spans="3:63" x14ac:dyDescent="0.2">
      <c r="C446" s="26"/>
      <c r="D446" s="26"/>
      <c r="E446" s="26"/>
      <c r="F446" s="26"/>
      <c r="AV446" s="27"/>
      <c r="AW446" s="27"/>
      <c r="AX446" s="27"/>
      <c r="AY446" s="27"/>
      <c r="AZ446" s="27"/>
      <c r="BA446" s="27"/>
      <c r="BB446" s="26"/>
      <c r="BC446" s="27"/>
      <c r="BD446" s="26"/>
      <c r="BE446" s="27"/>
      <c r="BF446" s="26"/>
      <c r="BH446" s="26"/>
      <c r="BI446" s="26"/>
      <c r="BJ446" s="26"/>
      <c r="BK446" s="26"/>
    </row>
    <row r="447" spans="3:63" x14ac:dyDescent="0.2">
      <c r="C447" s="26"/>
      <c r="D447" s="26"/>
      <c r="E447" s="26"/>
      <c r="F447" s="26"/>
      <c r="AV447" s="27"/>
      <c r="AW447" s="27"/>
      <c r="AX447" s="27"/>
      <c r="AY447" s="27"/>
      <c r="AZ447" s="27"/>
      <c r="BA447" s="27"/>
      <c r="BB447" s="26"/>
      <c r="BC447" s="27"/>
      <c r="BD447" s="26"/>
      <c r="BE447" s="27"/>
      <c r="BF447" s="26"/>
      <c r="BH447" s="26"/>
      <c r="BI447" s="26"/>
      <c r="BJ447" s="26"/>
      <c r="BK447" s="26"/>
    </row>
    <row r="448" spans="3:63" x14ac:dyDescent="0.2">
      <c r="C448" s="26"/>
      <c r="D448" s="26"/>
      <c r="E448" s="26"/>
      <c r="F448" s="26"/>
      <c r="AV448" s="27"/>
      <c r="AW448" s="27"/>
      <c r="AX448" s="27"/>
      <c r="AY448" s="27"/>
      <c r="AZ448" s="27"/>
      <c r="BA448" s="27"/>
      <c r="BB448" s="26"/>
      <c r="BC448" s="27"/>
      <c r="BD448" s="26"/>
      <c r="BE448" s="27"/>
      <c r="BF448" s="26"/>
      <c r="BH448" s="26"/>
      <c r="BI448" s="26"/>
      <c r="BJ448" s="26"/>
      <c r="BK448" s="26"/>
    </row>
    <row r="449" spans="3:63" x14ac:dyDescent="0.2">
      <c r="C449" s="26"/>
      <c r="D449" s="26"/>
      <c r="E449" s="26"/>
      <c r="F449" s="26"/>
      <c r="AV449" s="27"/>
      <c r="AW449" s="27"/>
      <c r="AX449" s="27"/>
      <c r="AY449" s="27"/>
      <c r="AZ449" s="27"/>
      <c r="BA449" s="27"/>
      <c r="BB449" s="26"/>
      <c r="BC449" s="27"/>
      <c r="BD449" s="26"/>
      <c r="BE449" s="27"/>
      <c r="BF449" s="26"/>
      <c r="BH449" s="26"/>
      <c r="BI449" s="26"/>
      <c r="BJ449" s="26"/>
      <c r="BK449" s="26"/>
    </row>
    <row r="450" spans="3:63" x14ac:dyDescent="0.2">
      <c r="C450" s="26"/>
      <c r="D450" s="26"/>
      <c r="E450" s="26"/>
      <c r="F450" s="26"/>
      <c r="AV450" s="27"/>
      <c r="AW450" s="27"/>
      <c r="AX450" s="27"/>
      <c r="AY450" s="27"/>
      <c r="AZ450" s="27"/>
      <c r="BA450" s="27"/>
      <c r="BB450" s="26"/>
      <c r="BC450" s="27"/>
      <c r="BD450" s="26"/>
      <c r="BE450" s="27"/>
      <c r="BF450" s="26"/>
      <c r="BH450" s="26"/>
      <c r="BI450" s="26"/>
      <c r="BJ450" s="26"/>
      <c r="BK450" s="26"/>
    </row>
    <row r="451" spans="3:63" x14ac:dyDescent="0.2">
      <c r="C451" s="26"/>
      <c r="D451" s="26"/>
      <c r="E451" s="26"/>
      <c r="F451" s="26"/>
      <c r="AV451" s="27"/>
      <c r="AW451" s="27"/>
      <c r="AX451" s="27"/>
      <c r="AY451" s="27"/>
      <c r="AZ451" s="27"/>
      <c r="BA451" s="27"/>
      <c r="BB451" s="26"/>
      <c r="BC451" s="27"/>
      <c r="BD451" s="26"/>
      <c r="BE451" s="27"/>
      <c r="BF451" s="26"/>
      <c r="BH451" s="26"/>
      <c r="BI451" s="26"/>
      <c r="BJ451" s="26"/>
      <c r="BK451" s="26"/>
    </row>
    <row r="452" spans="3:63" x14ac:dyDescent="0.2">
      <c r="C452" s="26"/>
      <c r="D452" s="26"/>
      <c r="E452" s="26"/>
      <c r="F452" s="26"/>
      <c r="AV452" s="27"/>
      <c r="AW452" s="27"/>
      <c r="AX452" s="27"/>
      <c r="AY452" s="27"/>
      <c r="AZ452" s="27"/>
      <c r="BA452" s="27"/>
      <c r="BB452" s="26"/>
      <c r="BC452" s="27"/>
      <c r="BD452" s="26"/>
      <c r="BE452" s="27"/>
      <c r="BF452" s="26"/>
      <c r="BH452" s="26"/>
      <c r="BI452" s="26"/>
      <c r="BJ452" s="26"/>
      <c r="BK452" s="26"/>
    </row>
    <row r="453" spans="3:63" x14ac:dyDescent="0.2">
      <c r="C453" s="26"/>
      <c r="D453" s="26"/>
      <c r="E453" s="26"/>
      <c r="F453" s="26"/>
      <c r="AV453" s="27"/>
      <c r="AW453" s="27"/>
      <c r="AX453" s="27"/>
      <c r="AY453" s="27"/>
      <c r="AZ453" s="27"/>
      <c r="BA453" s="27"/>
      <c r="BB453" s="26"/>
      <c r="BC453" s="27"/>
      <c r="BD453" s="26"/>
      <c r="BE453" s="27"/>
      <c r="BF453" s="26"/>
      <c r="BH453" s="26"/>
      <c r="BI453" s="26"/>
      <c r="BJ453" s="26"/>
      <c r="BK453" s="26"/>
    </row>
    <row r="454" spans="3:63" x14ac:dyDescent="0.2">
      <c r="C454" s="26"/>
      <c r="D454" s="26"/>
      <c r="E454" s="26"/>
      <c r="F454" s="26"/>
      <c r="AV454" s="27"/>
      <c r="AW454" s="27"/>
      <c r="AX454" s="27"/>
      <c r="AY454" s="27"/>
      <c r="AZ454" s="27"/>
      <c r="BA454" s="27"/>
      <c r="BB454" s="26"/>
      <c r="BC454" s="27"/>
      <c r="BD454" s="26"/>
      <c r="BE454" s="27"/>
      <c r="BF454" s="26"/>
      <c r="BH454" s="26"/>
      <c r="BI454" s="26"/>
      <c r="BJ454" s="26"/>
      <c r="BK454" s="26"/>
    </row>
    <row r="455" spans="3:63" x14ac:dyDescent="0.2">
      <c r="C455" s="26"/>
      <c r="D455" s="26"/>
      <c r="E455" s="26"/>
      <c r="F455" s="26"/>
      <c r="AV455" s="27"/>
      <c r="AW455" s="27"/>
      <c r="AX455" s="27"/>
      <c r="AY455" s="27"/>
      <c r="AZ455" s="27"/>
      <c r="BA455" s="27"/>
      <c r="BB455" s="26"/>
      <c r="BC455" s="27"/>
      <c r="BD455" s="26"/>
      <c r="BE455" s="27"/>
      <c r="BF455" s="26"/>
      <c r="BH455" s="26"/>
      <c r="BI455" s="26"/>
      <c r="BJ455" s="26"/>
      <c r="BK455" s="26"/>
    </row>
    <row r="456" spans="3:63" x14ac:dyDescent="0.2">
      <c r="C456" s="26"/>
      <c r="D456" s="26"/>
      <c r="E456" s="26"/>
      <c r="F456" s="26"/>
      <c r="AV456" s="27"/>
      <c r="AW456" s="27"/>
      <c r="AX456" s="27"/>
      <c r="AY456" s="27"/>
      <c r="AZ456" s="27"/>
      <c r="BA456" s="27"/>
      <c r="BB456" s="26"/>
      <c r="BC456" s="27"/>
      <c r="BD456" s="26"/>
      <c r="BE456" s="27"/>
      <c r="BF456" s="26"/>
      <c r="BH456" s="26"/>
      <c r="BI456" s="26"/>
      <c r="BJ456" s="26"/>
      <c r="BK456" s="26"/>
    </row>
    <row r="457" spans="3:63" x14ac:dyDescent="0.2">
      <c r="C457" s="26"/>
      <c r="D457" s="26"/>
      <c r="E457" s="26"/>
      <c r="F457" s="26"/>
      <c r="AV457" s="27"/>
      <c r="AW457" s="27"/>
      <c r="AX457" s="27"/>
      <c r="AY457" s="27"/>
      <c r="AZ457" s="27"/>
      <c r="BA457" s="27"/>
      <c r="BB457" s="26"/>
      <c r="BC457" s="27"/>
      <c r="BD457" s="26"/>
      <c r="BE457" s="27"/>
      <c r="BF457" s="26"/>
      <c r="BH457" s="26"/>
      <c r="BI457" s="26"/>
      <c r="BJ457" s="26"/>
      <c r="BK457" s="26"/>
    </row>
    <row r="458" spans="3:63" x14ac:dyDescent="0.2">
      <c r="C458" s="26"/>
      <c r="D458" s="26"/>
      <c r="E458" s="26"/>
      <c r="F458" s="26"/>
      <c r="AV458" s="27"/>
      <c r="AW458" s="27"/>
      <c r="AX458" s="27"/>
      <c r="AY458" s="27"/>
      <c r="AZ458" s="27"/>
      <c r="BA458" s="27"/>
      <c r="BB458" s="26"/>
      <c r="BC458" s="27"/>
      <c r="BD458" s="26"/>
      <c r="BE458" s="27"/>
      <c r="BF458" s="26"/>
      <c r="BH458" s="26"/>
      <c r="BI458" s="26"/>
      <c r="BJ458" s="26"/>
      <c r="BK458" s="26"/>
    </row>
    <row r="459" spans="3:63" x14ac:dyDescent="0.2">
      <c r="C459" s="26"/>
      <c r="D459" s="26"/>
      <c r="E459" s="26"/>
      <c r="F459" s="26"/>
      <c r="AV459" s="27"/>
      <c r="AW459" s="27"/>
      <c r="AX459" s="27"/>
      <c r="AY459" s="27"/>
      <c r="AZ459" s="27"/>
      <c r="BA459" s="27"/>
      <c r="BB459" s="26"/>
      <c r="BC459" s="27"/>
      <c r="BD459" s="26"/>
      <c r="BE459" s="27"/>
      <c r="BF459" s="26"/>
      <c r="BH459" s="26"/>
      <c r="BI459" s="26"/>
      <c r="BJ459" s="26"/>
      <c r="BK459" s="26"/>
    </row>
    <row r="460" spans="3:63" x14ac:dyDescent="0.2">
      <c r="C460" s="26"/>
      <c r="D460" s="26"/>
      <c r="E460" s="26"/>
      <c r="F460" s="26"/>
      <c r="AV460" s="27"/>
      <c r="AW460" s="27"/>
      <c r="AX460" s="27"/>
      <c r="AY460" s="27"/>
      <c r="AZ460" s="27"/>
      <c r="BA460" s="27"/>
      <c r="BB460" s="26"/>
      <c r="BC460" s="27"/>
      <c r="BD460" s="26"/>
      <c r="BE460" s="27"/>
      <c r="BF460" s="26"/>
      <c r="BH460" s="26"/>
      <c r="BI460" s="26"/>
      <c r="BJ460" s="26"/>
      <c r="BK460" s="26"/>
    </row>
    <row r="461" spans="3:63" x14ac:dyDescent="0.2">
      <c r="C461" s="26"/>
      <c r="D461" s="26"/>
      <c r="E461" s="26"/>
      <c r="F461" s="26"/>
      <c r="AV461" s="27"/>
      <c r="AW461" s="27"/>
      <c r="AX461" s="27"/>
      <c r="AY461" s="27"/>
      <c r="AZ461" s="27"/>
      <c r="BA461" s="27"/>
      <c r="BB461" s="26"/>
      <c r="BC461" s="27"/>
      <c r="BD461" s="26"/>
      <c r="BE461" s="27"/>
      <c r="BF461" s="26"/>
      <c r="BH461" s="26"/>
      <c r="BI461" s="26"/>
      <c r="BJ461" s="26"/>
      <c r="BK461" s="26"/>
    </row>
    <row r="462" spans="3:63" x14ac:dyDescent="0.2">
      <c r="C462" s="26"/>
      <c r="D462" s="26"/>
      <c r="E462" s="26"/>
      <c r="F462" s="26"/>
      <c r="AV462" s="27"/>
      <c r="AW462" s="27"/>
      <c r="AX462" s="27"/>
      <c r="AY462" s="27"/>
      <c r="AZ462" s="27"/>
      <c r="BA462" s="27"/>
      <c r="BB462" s="26"/>
      <c r="BC462" s="27"/>
      <c r="BD462" s="26"/>
      <c r="BE462" s="27"/>
      <c r="BF462" s="26"/>
      <c r="BH462" s="26"/>
      <c r="BI462" s="26"/>
      <c r="BJ462" s="26"/>
      <c r="BK462" s="26"/>
    </row>
    <row r="463" spans="3:63" x14ac:dyDescent="0.2">
      <c r="C463" s="26"/>
      <c r="D463" s="26"/>
      <c r="E463" s="26"/>
      <c r="F463" s="26"/>
      <c r="AV463" s="27"/>
      <c r="AW463" s="27"/>
      <c r="AX463" s="27"/>
      <c r="AY463" s="27"/>
      <c r="AZ463" s="27"/>
      <c r="BA463" s="27"/>
      <c r="BB463" s="26"/>
      <c r="BC463" s="27"/>
      <c r="BD463" s="26"/>
      <c r="BE463" s="27"/>
      <c r="BF463" s="26"/>
      <c r="BH463" s="26"/>
      <c r="BI463" s="26"/>
      <c r="BJ463" s="26"/>
      <c r="BK463" s="26"/>
    </row>
    <row r="464" spans="3:63" x14ac:dyDescent="0.2">
      <c r="C464" s="26"/>
      <c r="D464" s="26"/>
      <c r="E464" s="26"/>
      <c r="F464" s="26"/>
      <c r="AV464" s="27"/>
      <c r="AW464" s="27"/>
      <c r="AX464" s="27"/>
      <c r="AY464" s="27"/>
      <c r="AZ464" s="27"/>
      <c r="BA464" s="27"/>
      <c r="BB464" s="26"/>
      <c r="BC464" s="27"/>
      <c r="BD464" s="26"/>
      <c r="BE464" s="27"/>
      <c r="BF464" s="26"/>
      <c r="BH464" s="26"/>
      <c r="BI464" s="26"/>
      <c r="BJ464" s="26"/>
      <c r="BK464" s="26"/>
    </row>
    <row r="465" spans="3:63" x14ac:dyDescent="0.2">
      <c r="C465" s="26"/>
      <c r="D465" s="26"/>
      <c r="E465" s="26"/>
      <c r="F465" s="26"/>
      <c r="AV465" s="27"/>
      <c r="AW465" s="27"/>
      <c r="AX465" s="27"/>
      <c r="AY465" s="27"/>
      <c r="AZ465" s="27"/>
      <c r="BA465" s="27"/>
      <c r="BB465" s="26"/>
      <c r="BC465" s="27"/>
      <c r="BD465" s="26"/>
      <c r="BE465" s="27"/>
      <c r="BF465" s="26"/>
      <c r="BH465" s="26"/>
      <c r="BI465" s="26"/>
      <c r="BJ465" s="26"/>
      <c r="BK465" s="26"/>
    </row>
    <row r="466" spans="3:63" x14ac:dyDescent="0.2">
      <c r="C466" s="26"/>
      <c r="D466" s="26"/>
      <c r="E466" s="26"/>
      <c r="F466" s="26"/>
      <c r="AV466" s="27"/>
      <c r="AW466" s="27"/>
      <c r="AX466" s="27"/>
      <c r="AY466" s="27"/>
      <c r="AZ466" s="27"/>
      <c r="BA466" s="27"/>
      <c r="BB466" s="26"/>
      <c r="BC466" s="27"/>
      <c r="BD466" s="26"/>
      <c r="BE466" s="27"/>
      <c r="BF466" s="26"/>
      <c r="BH466" s="26"/>
      <c r="BI466" s="26"/>
      <c r="BJ466" s="26"/>
      <c r="BK466" s="26"/>
    </row>
    <row r="467" spans="3:63" x14ac:dyDescent="0.2">
      <c r="C467" s="26"/>
      <c r="D467" s="26"/>
      <c r="E467" s="26"/>
      <c r="F467" s="26"/>
      <c r="AV467" s="27"/>
      <c r="AW467" s="27"/>
      <c r="AX467" s="27"/>
      <c r="AY467" s="27"/>
      <c r="AZ467" s="27"/>
      <c r="BA467" s="27"/>
      <c r="BB467" s="26"/>
      <c r="BC467" s="27"/>
      <c r="BD467" s="26"/>
      <c r="BE467" s="27"/>
      <c r="BF467" s="26"/>
      <c r="BH467" s="26"/>
      <c r="BI467" s="26"/>
      <c r="BJ467" s="26"/>
      <c r="BK467" s="26"/>
    </row>
    <row r="468" spans="3:63" x14ac:dyDescent="0.2">
      <c r="C468" s="26"/>
      <c r="D468" s="26"/>
      <c r="E468" s="26"/>
      <c r="F468" s="26"/>
      <c r="AV468" s="27"/>
      <c r="AW468" s="27"/>
      <c r="AX468" s="27"/>
      <c r="AY468" s="27"/>
      <c r="AZ468" s="27"/>
      <c r="BA468" s="27"/>
      <c r="BB468" s="26"/>
      <c r="BC468" s="27"/>
      <c r="BD468" s="26"/>
      <c r="BE468" s="27"/>
      <c r="BF468" s="26"/>
      <c r="BH468" s="26"/>
      <c r="BI468" s="26"/>
      <c r="BJ468" s="26"/>
      <c r="BK468" s="26"/>
    </row>
    <row r="469" spans="3:63" x14ac:dyDescent="0.2">
      <c r="C469" s="26"/>
      <c r="D469" s="26"/>
      <c r="E469" s="26"/>
      <c r="F469" s="26"/>
      <c r="AV469" s="27"/>
      <c r="AW469" s="27"/>
      <c r="AX469" s="27"/>
      <c r="AY469" s="27"/>
      <c r="AZ469" s="27"/>
      <c r="BA469" s="27"/>
      <c r="BB469" s="26"/>
      <c r="BC469" s="27"/>
      <c r="BD469" s="26"/>
      <c r="BE469" s="27"/>
      <c r="BF469" s="26"/>
      <c r="BH469" s="26"/>
      <c r="BI469" s="26"/>
      <c r="BJ469" s="26"/>
      <c r="BK469" s="26"/>
    </row>
    <row r="470" spans="3:63" x14ac:dyDescent="0.2">
      <c r="C470" s="26"/>
      <c r="D470" s="26"/>
      <c r="E470" s="26"/>
      <c r="F470" s="26"/>
      <c r="AV470" s="27"/>
      <c r="AW470" s="27"/>
      <c r="AX470" s="27"/>
      <c r="AY470" s="27"/>
      <c r="AZ470" s="27"/>
      <c r="BA470" s="27"/>
      <c r="BB470" s="26"/>
      <c r="BC470" s="27"/>
      <c r="BD470" s="26"/>
      <c r="BE470" s="27"/>
      <c r="BF470" s="26"/>
      <c r="BH470" s="26"/>
      <c r="BI470" s="26"/>
      <c r="BJ470" s="26"/>
      <c r="BK470" s="26"/>
    </row>
    <row r="471" spans="3:63" x14ac:dyDescent="0.2">
      <c r="C471" s="26"/>
      <c r="D471" s="26"/>
      <c r="E471" s="26"/>
      <c r="F471" s="26"/>
      <c r="AV471" s="27"/>
      <c r="AW471" s="27"/>
      <c r="AX471" s="27"/>
      <c r="AY471" s="27"/>
      <c r="AZ471" s="27"/>
      <c r="BA471" s="27"/>
      <c r="BB471" s="26"/>
      <c r="BC471" s="27"/>
      <c r="BD471" s="26"/>
      <c r="BE471" s="27"/>
      <c r="BF471" s="26"/>
      <c r="BH471" s="26"/>
      <c r="BI471" s="26"/>
      <c r="BJ471" s="26"/>
      <c r="BK471" s="26"/>
    </row>
    <row r="472" spans="3:63" x14ac:dyDescent="0.2">
      <c r="C472" s="26"/>
      <c r="D472" s="26"/>
      <c r="E472" s="26"/>
      <c r="F472" s="26"/>
      <c r="AV472" s="27"/>
      <c r="AW472" s="27"/>
      <c r="AX472" s="27"/>
      <c r="AY472" s="27"/>
      <c r="AZ472" s="27"/>
      <c r="BA472" s="27"/>
      <c r="BB472" s="26"/>
      <c r="BC472" s="27"/>
      <c r="BD472" s="26"/>
      <c r="BE472" s="27"/>
      <c r="BF472" s="26"/>
      <c r="BH472" s="26"/>
      <c r="BI472" s="26"/>
      <c r="BJ472" s="26"/>
      <c r="BK472" s="26"/>
    </row>
    <row r="473" spans="3:63" x14ac:dyDescent="0.2">
      <c r="C473" s="26"/>
      <c r="D473" s="26"/>
      <c r="E473" s="26"/>
      <c r="F473" s="26"/>
      <c r="AV473" s="27"/>
      <c r="AW473" s="27"/>
      <c r="AX473" s="27"/>
      <c r="AY473" s="27"/>
      <c r="AZ473" s="27"/>
      <c r="BA473" s="27"/>
      <c r="BB473" s="26"/>
      <c r="BC473" s="27"/>
      <c r="BD473" s="26"/>
      <c r="BE473" s="27"/>
      <c r="BF473" s="26"/>
      <c r="BH473" s="26"/>
      <c r="BI473" s="26"/>
      <c r="BJ473" s="26"/>
      <c r="BK473" s="26"/>
    </row>
    <row r="474" spans="3:63" x14ac:dyDescent="0.2">
      <c r="C474" s="26"/>
      <c r="D474" s="26"/>
      <c r="E474" s="26"/>
      <c r="F474" s="26"/>
      <c r="AV474" s="27"/>
      <c r="AW474" s="27"/>
      <c r="AX474" s="27"/>
      <c r="AY474" s="27"/>
      <c r="AZ474" s="27"/>
      <c r="BA474" s="27"/>
      <c r="BB474" s="26"/>
      <c r="BC474" s="27"/>
      <c r="BD474" s="26"/>
      <c r="BE474" s="27"/>
      <c r="BF474" s="26"/>
      <c r="BH474" s="26"/>
      <c r="BI474" s="26"/>
      <c r="BJ474" s="26"/>
      <c r="BK474" s="26"/>
    </row>
    <row r="475" spans="3:63" x14ac:dyDescent="0.2">
      <c r="C475" s="26"/>
      <c r="D475" s="26"/>
      <c r="E475" s="26"/>
      <c r="F475" s="26"/>
      <c r="AV475" s="27"/>
      <c r="AW475" s="27"/>
      <c r="AX475" s="27"/>
      <c r="AY475" s="27"/>
      <c r="AZ475" s="27"/>
      <c r="BA475" s="27"/>
      <c r="BB475" s="26"/>
      <c r="BC475" s="27"/>
      <c r="BD475" s="26"/>
      <c r="BE475" s="27"/>
      <c r="BF475" s="26"/>
      <c r="BH475" s="26"/>
      <c r="BI475" s="26"/>
      <c r="BJ475" s="26"/>
      <c r="BK475" s="26"/>
    </row>
    <row r="476" spans="3:63" x14ac:dyDescent="0.2">
      <c r="C476" s="26"/>
      <c r="D476" s="26"/>
      <c r="E476" s="26"/>
      <c r="F476" s="26"/>
      <c r="AV476" s="27"/>
      <c r="AW476" s="27"/>
      <c r="AX476" s="27"/>
      <c r="AY476" s="27"/>
      <c r="AZ476" s="27"/>
      <c r="BA476" s="27"/>
      <c r="BB476" s="26"/>
      <c r="BC476" s="27"/>
      <c r="BD476" s="26"/>
      <c r="BE476" s="27"/>
      <c r="BF476" s="26"/>
      <c r="BH476" s="26"/>
      <c r="BI476" s="26"/>
      <c r="BJ476" s="26"/>
      <c r="BK476" s="26"/>
    </row>
    <row r="477" spans="3:63" x14ac:dyDescent="0.2">
      <c r="C477" s="26"/>
      <c r="D477" s="26"/>
      <c r="E477" s="26"/>
      <c r="F477" s="26"/>
      <c r="AV477" s="27"/>
      <c r="AW477" s="27"/>
      <c r="AX477" s="27"/>
      <c r="AY477" s="27"/>
      <c r="AZ477" s="27"/>
      <c r="BA477" s="27"/>
      <c r="BB477" s="26"/>
      <c r="BC477" s="27"/>
      <c r="BD477" s="26"/>
      <c r="BE477" s="27"/>
      <c r="BF477" s="26"/>
      <c r="BH477" s="26"/>
      <c r="BI477" s="26"/>
      <c r="BJ477" s="26"/>
      <c r="BK477" s="26"/>
    </row>
    <row r="478" spans="3:63" x14ac:dyDescent="0.2">
      <c r="C478" s="26"/>
      <c r="D478" s="26"/>
      <c r="E478" s="26"/>
      <c r="F478" s="26"/>
      <c r="AV478" s="27"/>
      <c r="AW478" s="27"/>
      <c r="AX478" s="27"/>
      <c r="AY478" s="27"/>
      <c r="AZ478" s="27"/>
      <c r="BA478" s="27"/>
      <c r="BB478" s="26"/>
      <c r="BC478" s="27"/>
      <c r="BD478" s="26"/>
      <c r="BE478" s="27"/>
      <c r="BF478" s="26"/>
      <c r="BH478" s="26"/>
      <c r="BI478" s="26"/>
      <c r="BJ478" s="26"/>
      <c r="BK478" s="26"/>
    </row>
    <row r="479" spans="3:63" x14ac:dyDescent="0.2">
      <c r="C479" s="26"/>
      <c r="D479" s="26"/>
      <c r="E479" s="26"/>
      <c r="F479" s="26"/>
      <c r="AV479" s="27"/>
      <c r="AW479" s="27"/>
      <c r="AX479" s="27"/>
      <c r="AY479" s="27"/>
      <c r="AZ479" s="27"/>
      <c r="BA479" s="27"/>
      <c r="BB479" s="26"/>
      <c r="BC479" s="27"/>
      <c r="BD479" s="26"/>
      <c r="BE479" s="27"/>
      <c r="BF479" s="26"/>
      <c r="BH479" s="26"/>
      <c r="BI479" s="26"/>
      <c r="BJ479" s="26"/>
      <c r="BK479" s="26"/>
    </row>
    <row r="480" spans="3:63" x14ac:dyDescent="0.2">
      <c r="C480" s="26"/>
      <c r="D480" s="26"/>
      <c r="E480" s="26"/>
      <c r="F480" s="26"/>
      <c r="AV480" s="27"/>
      <c r="AW480" s="27"/>
      <c r="AX480" s="27"/>
      <c r="AY480" s="27"/>
      <c r="AZ480" s="27"/>
      <c r="BA480" s="27"/>
      <c r="BB480" s="26"/>
      <c r="BC480" s="27"/>
      <c r="BD480" s="26"/>
      <c r="BE480" s="27"/>
      <c r="BF480" s="26"/>
      <c r="BH480" s="26"/>
      <c r="BI480" s="26"/>
      <c r="BJ480" s="26"/>
      <c r="BK480" s="26"/>
    </row>
    <row r="481" spans="3:63" x14ac:dyDescent="0.2">
      <c r="C481" s="26"/>
      <c r="D481" s="26"/>
      <c r="E481" s="26"/>
      <c r="F481" s="26"/>
      <c r="AV481" s="27"/>
      <c r="AW481" s="27"/>
      <c r="AX481" s="27"/>
      <c r="AY481" s="27"/>
      <c r="AZ481" s="27"/>
      <c r="BA481" s="27"/>
      <c r="BB481" s="26"/>
      <c r="BC481" s="27"/>
      <c r="BD481" s="26"/>
      <c r="BE481" s="27"/>
      <c r="BF481" s="26"/>
      <c r="BH481" s="26"/>
      <c r="BI481" s="26"/>
      <c r="BJ481" s="26"/>
      <c r="BK481" s="26"/>
    </row>
    <row r="482" spans="3:63" x14ac:dyDescent="0.2">
      <c r="C482" s="26"/>
      <c r="D482" s="26"/>
      <c r="E482" s="26"/>
      <c r="F482" s="26"/>
      <c r="AV482" s="27"/>
      <c r="AW482" s="27"/>
      <c r="AX482" s="27"/>
      <c r="AY482" s="27"/>
      <c r="AZ482" s="27"/>
      <c r="BA482" s="27"/>
      <c r="BB482" s="26"/>
      <c r="BC482" s="27"/>
      <c r="BD482" s="26"/>
      <c r="BE482" s="27"/>
      <c r="BF482" s="26"/>
      <c r="BH482" s="26"/>
      <c r="BI482" s="26"/>
      <c r="BJ482" s="26"/>
      <c r="BK482" s="26"/>
    </row>
    <row r="483" spans="3:63" x14ac:dyDescent="0.2">
      <c r="C483" s="26"/>
      <c r="D483" s="26"/>
      <c r="E483" s="26"/>
      <c r="F483" s="26"/>
      <c r="AV483" s="27"/>
      <c r="AW483" s="27"/>
      <c r="AX483" s="27"/>
      <c r="AY483" s="27"/>
      <c r="AZ483" s="27"/>
      <c r="BA483" s="27"/>
      <c r="BB483" s="26"/>
      <c r="BC483" s="27"/>
      <c r="BD483" s="26"/>
      <c r="BE483" s="27"/>
      <c r="BF483" s="26"/>
      <c r="BH483" s="26"/>
      <c r="BI483" s="26"/>
      <c r="BJ483" s="26"/>
      <c r="BK483" s="26"/>
    </row>
    <row r="484" spans="3:63" x14ac:dyDescent="0.2">
      <c r="C484" s="26"/>
      <c r="D484" s="26"/>
      <c r="E484" s="26"/>
      <c r="F484" s="26"/>
      <c r="AV484" s="27"/>
      <c r="AW484" s="27"/>
      <c r="AX484" s="27"/>
      <c r="AY484" s="27"/>
      <c r="AZ484" s="27"/>
      <c r="BA484" s="27"/>
      <c r="BB484" s="26"/>
      <c r="BC484" s="27"/>
      <c r="BD484" s="26"/>
      <c r="BE484" s="27"/>
      <c r="BF484" s="26"/>
      <c r="BH484" s="26"/>
      <c r="BI484" s="26"/>
      <c r="BJ484" s="26"/>
      <c r="BK484" s="26"/>
    </row>
    <row r="485" spans="3:63" x14ac:dyDescent="0.2">
      <c r="C485" s="26"/>
      <c r="D485" s="26"/>
      <c r="E485" s="26"/>
      <c r="F485" s="26"/>
      <c r="AV485" s="27"/>
      <c r="AW485" s="27"/>
      <c r="AX485" s="27"/>
      <c r="AY485" s="27"/>
      <c r="AZ485" s="27"/>
      <c r="BA485" s="27"/>
      <c r="BB485" s="26"/>
      <c r="BC485" s="27"/>
      <c r="BD485" s="26"/>
      <c r="BE485" s="27"/>
      <c r="BF485" s="26"/>
      <c r="BH485" s="26"/>
      <c r="BI485" s="26"/>
      <c r="BJ485" s="26"/>
      <c r="BK485" s="26"/>
    </row>
    <row r="486" spans="3:63" x14ac:dyDescent="0.2">
      <c r="C486" s="26"/>
      <c r="D486" s="26"/>
      <c r="E486" s="26"/>
      <c r="F486" s="26"/>
      <c r="AV486" s="27"/>
      <c r="AW486" s="27"/>
      <c r="AX486" s="27"/>
      <c r="AY486" s="27"/>
      <c r="AZ486" s="27"/>
      <c r="BA486" s="27"/>
      <c r="BB486" s="26"/>
      <c r="BC486" s="27"/>
      <c r="BD486" s="26"/>
      <c r="BE486" s="27"/>
      <c r="BF486" s="26"/>
      <c r="BH486" s="26"/>
      <c r="BI486" s="26"/>
      <c r="BJ486" s="26"/>
      <c r="BK486" s="26"/>
    </row>
    <row r="487" spans="3:63" x14ac:dyDescent="0.2">
      <c r="C487" s="26"/>
      <c r="D487" s="26"/>
      <c r="E487" s="26"/>
      <c r="F487" s="26"/>
      <c r="AV487" s="27"/>
      <c r="AW487" s="27"/>
      <c r="AX487" s="27"/>
      <c r="AY487" s="27"/>
      <c r="AZ487" s="27"/>
      <c r="BA487" s="27"/>
      <c r="BB487" s="26"/>
      <c r="BC487" s="27"/>
      <c r="BD487" s="26"/>
      <c r="BE487" s="27"/>
      <c r="BF487" s="26"/>
      <c r="BH487" s="26"/>
      <c r="BI487" s="26"/>
      <c r="BJ487" s="26"/>
      <c r="BK487" s="26"/>
    </row>
    <row r="488" spans="3:63" x14ac:dyDescent="0.2">
      <c r="C488" s="26"/>
      <c r="D488" s="26"/>
      <c r="E488" s="26"/>
      <c r="F488" s="26"/>
      <c r="AV488" s="27"/>
      <c r="AW488" s="27"/>
      <c r="AX488" s="27"/>
      <c r="AY488" s="27"/>
      <c r="AZ488" s="27"/>
      <c r="BA488" s="27"/>
      <c r="BB488" s="26"/>
      <c r="BC488" s="27"/>
      <c r="BD488" s="26"/>
      <c r="BE488" s="27"/>
      <c r="BF488" s="26"/>
      <c r="BH488" s="26"/>
      <c r="BI488" s="26"/>
      <c r="BJ488" s="26"/>
      <c r="BK488" s="26"/>
    </row>
    <row r="489" spans="3:63" x14ac:dyDescent="0.2">
      <c r="C489" s="26"/>
      <c r="D489" s="26"/>
      <c r="E489" s="26"/>
      <c r="F489" s="26"/>
      <c r="AV489" s="27"/>
      <c r="AW489" s="27"/>
      <c r="AX489" s="27"/>
      <c r="AY489" s="27"/>
      <c r="AZ489" s="27"/>
      <c r="BA489" s="27"/>
      <c r="BB489" s="26"/>
      <c r="BC489" s="27"/>
      <c r="BD489" s="26"/>
      <c r="BE489" s="27"/>
      <c r="BF489" s="26"/>
      <c r="BH489" s="26"/>
      <c r="BI489" s="26"/>
      <c r="BJ489" s="26"/>
      <c r="BK489" s="26"/>
    </row>
    <row r="490" spans="3:63" x14ac:dyDescent="0.2">
      <c r="C490" s="26"/>
      <c r="D490" s="26"/>
      <c r="E490" s="26"/>
      <c r="F490" s="26"/>
      <c r="AV490" s="27"/>
      <c r="AW490" s="27"/>
      <c r="AX490" s="27"/>
      <c r="AY490" s="27"/>
      <c r="AZ490" s="27"/>
      <c r="BA490" s="27"/>
      <c r="BB490" s="26"/>
      <c r="BC490" s="27"/>
      <c r="BD490" s="26"/>
      <c r="BE490" s="27"/>
      <c r="BF490" s="26"/>
      <c r="BH490" s="26"/>
      <c r="BI490" s="26"/>
      <c r="BJ490" s="26"/>
      <c r="BK490" s="26"/>
    </row>
    <row r="491" spans="3:63" x14ac:dyDescent="0.2">
      <c r="C491" s="26"/>
      <c r="D491" s="26"/>
      <c r="E491" s="26"/>
      <c r="F491" s="26"/>
      <c r="AV491" s="27"/>
      <c r="AW491" s="27"/>
      <c r="AX491" s="27"/>
      <c r="AY491" s="27"/>
      <c r="AZ491" s="27"/>
      <c r="BA491" s="27"/>
      <c r="BB491" s="26"/>
      <c r="BC491" s="27"/>
      <c r="BD491" s="26"/>
      <c r="BE491" s="27"/>
      <c r="BF491" s="26"/>
      <c r="BH491" s="26"/>
      <c r="BI491" s="26"/>
      <c r="BJ491" s="26"/>
      <c r="BK491" s="26"/>
    </row>
    <row r="492" spans="3:63" x14ac:dyDescent="0.2">
      <c r="C492" s="26"/>
      <c r="D492" s="26"/>
      <c r="E492" s="26"/>
      <c r="F492" s="26"/>
      <c r="AV492" s="27"/>
      <c r="AW492" s="27"/>
      <c r="AX492" s="27"/>
      <c r="AY492" s="27"/>
      <c r="AZ492" s="27"/>
      <c r="BA492" s="27"/>
      <c r="BB492" s="26"/>
      <c r="BC492" s="27"/>
      <c r="BD492" s="26"/>
      <c r="BE492" s="27"/>
      <c r="BF492" s="26"/>
      <c r="BH492" s="26"/>
      <c r="BI492" s="26"/>
      <c r="BJ492" s="26"/>
      <c r="BK492" s="26"/>
    </row>
    <row r="493" spans="3:63" x14ac:dyDescent="0.2">
      <c r="C493" s="26"/>
      <c r="D493" s="26"/>
      <c r="E493" s="26"/>
      <c r="F493" s="26"/>
      <c r="AV493" s="27"/>
      <c r="AW493" s="27"/>
      <c r="AX493" s="27"/>
      <c r="AY493" s="27"/>
      <c r="AZ493" s="27"/>
      <c r="BA493" s="27"/>
      <c r="BB493" s="26"/>
      <c r="BC493" s="27"/>
      <c r="BD493" s="26"/>
      <c r="BE493" s="27"/>
      <c r="BF493" s="26"/>
      <c r="BH493" s="26"/>
      <c r="BI493" s="26"/>
      <c r="BJ493" s="26"/>
      <c r="BK493" s="26"/>
    </row>
    <row r="494" spans="3:63" x14ac:dyDescent="0.2">
      <c r="C494" s="26"/>
      <c r="D494" s="26"/>
      <c r="E494" s="26"/>
      <c r="F494" s="26"/>
      <c r="AV494" s="27"/>
      <c r="AW494" s="27"/>
      <c r="AX494" s="27"/>
      <c r="AY494" s="27"/>
      <c r="AZ494" s="27"/>
      <c r="BA494" s="27"/>
      <c r="BB494" s="26"/>
      <c r="BC494" s="27"/>
      <c r="BD494" s="26"/>
      <c r="BE494" s="27"/>
      <c r="BF494" s="26"/>
      <c r="BH494" s="26"/>
      <c r="BI494" s="26"/>
      <c r="BJ494" s="26"/>
      <c r="BK494" s="26"/>
    </row>
    <row r="495" spans="3:63" x14ac:dyDescent="0.2">
      <c r="C495" s="26"/>
      <c r="D495" s="26"/>
      <c r="E495" s="26"/>
      <c r="F495" s="26"/>
      <c r="AV495" s="27"/>
      <c r="AW495" s="27"/>
      <c r="AX495" s="27"/>
      <c r="AY495" s="27"/>
      <c r="AZ495" s="27"/>
      <c r="BA495" s="27"/>
      <c r="BB495" s="26"/>
      <c r="BC495" s="27"/>
      <c r="BD495" s="26"/>
      <c r="BE495" s="27"/>
      <c r="BF495" s="26"/>
      <c r="BH495" s="26"/>
      <c r="BI495" s="26"/>
      <c r="BJ495" s="26"/>
      <c r="BK495" s="26"/>
    </row>
    <row r="496" spans="3:63" x14ac:dyDescent="0.2">
      <c r="C496" s="26"/>
      <c r="D496" s="26"/>
      <c r="E496" s="26"/>
      <c r="F496" s="26"/>
      <c r="AV496" s="27"/>
      <c r="AW496" s="27"/>
      <c r="AX496" s="27"/>
      <c r="AY496" s="27"/>
      <c r="AZ496" s="27"/>
      <c r="BA496" s="27"/>
      <c r="BB496" s="26"/>
      <c r="BC496" s="27"/>
      <c r="BD496" s="26"/>
      <c r="BE496" s="27"/>
      <c r="BF496" s="26"/>
      <c r="BH496" s="26"/>
      <c r="BI496" s="26"/>
      <c r="BJ496" s="26"/>
      <c r="BK496" s="26"/>
    </row>
    <row r="497" spans="3:63" x14ac:dyDescent="0.2">
      <c r="C497" s="26"/>
      <c r="D497" s="26"/>
      <c r="E497" s="26"/>
      <c r="F497" s="26"/>
      <c r="AV497" s="27"/>
      <c r="AW497" s="27"/>
      <c r="AX497" s="27"/>
      <c r="AY497" s="27"/>
      <c r="AZ497" s="27"/>
      <c r="BA497" s="27"/>
      <c r="BB497" s="26"/>
      <c r="BC497" s="27"/>
      <c r="BD497" s="26"/>
      <c r="BE497" s="27"/>
      <c r="BF497" s="26"/>
      <c r="BH497" s="26"/>
      <c r="BI497" s="26"/>
      <c r="BJ497" s="26"/>
      <c r="BK497" s="26"/>
    </row>
    <row r="498" spans="3:63" x14ac:dyDescent="0.2">
      <c r="C498" s="26"/>
      <c r="D498" s="26"/>
      <c r="E498" s="26"/>
      <c r="F498" s="26"/>
      <c r="AV498" s="27"/>
      <c r="AW498" s="27"/>
      <c r="AX498" s="27"/>
      <c r="AY498" s="27"/>
      <c r="AZ498" s="27"/>
      <c r="BA498" s="27"/>
      <c r="BB498" s="26"/>
      <c r="BC498" s="27"/>
      <c r="BD498" s="26"/>
      <c r="BE498" s="27"/>
      <c r="BF498" s="26"/>
      <c r="BH498" s="26"/>
      <c r="BI498" s="26"/>
      <c r="BJ498" s="26"/>
      <c r="BK498" s="26"/>
    </row>
    <row r="499" spans="3:63" x14ac:dyDescent="0.2">
      <c r="C499" s="26"/>
      <c r="D499" s="26"/>
      <c r="E499" s="26"/>
      <c r="F499" s="26"/>
      <c r="AV499" s="27"/>
      <c r="AW499" s="27"/>
      <c r="AX499" s="27"/>
      <c r="AY499" s="27"/>
      <c r="AZ499" s="27"/>
      <c r="BA499" s="27"/>
      <c r="BB499" s="26"/>
      <c r="BC499" s="27"/>
      <c r="BD499" s="26"/>
      <c r="BE499" s="27"/>
      <c r="BF499" s="26"/>
      <c r="BH499" s="26"/>
      <c r="BI499" s="26"/>
      <c r="BJ499" s="26"/>
      <c r="BK499" s="26"/>
    </row>
    <row r="500" spans="3:63" x14ac:dyDescent="0.2">
      <c r="C500" s="26"/>
      <c r="D500" s="26"/>
      <c r="E500" s="26"/>
      <c r="F500" s="26"/>
      <c r="AV500" s="27"/>
      <c r="AW500" s="27"/>
      <c r="AX500" s="27"/>
      <c r="AY500" s="27"/>
      <c r="AZ500" s="27"/>
      <c r="BA500" s="27"/>
      <c r="BB500" s="26"/>
      <c r="BC500" s="27"/>
      <c r="BD500" s="26"/>
      <c r="BE500" s="27"/>
      <c r="BF500" s="26"/>
      <c r="BH500" s="26"/>
      <c r="BI500" s="26"/>
      <c r="BJ500" s="26"/>
      <c r="BK500" s="26"/>
    </row>
    <row r="501" spans="3:63" x14ac:dyDescent="0.2">
      <c r="C501" s="26"/>
      <c r="D501" s="26"/>
      <c r="E501" s="26"/>
      <c r="F501" s="26"/>
      <c r="AV501" s="27"/>
      <c r="AW501" s="27"/>
      <c r="AX501" s="27"/>
      <c r="AY501" s="27"/>
      <c r="AZ501" s="27"/>
      <c r="BA501" s="27"/>
      <c r="BB501" s="26"/>
      <c r="BC501" s="27"/>
      <c r="BD501" s="26"/>
      <c r="BE501" s="27"/>
      <c r="BF501" s="26"/>
      <c r="BH501" s="26"/>
      <c r="BI501" s="26"/>
      <c r="BJ501" s="26"/>
      <c r="BK501" s="26"/>
    </row>
    <row r="502" spans="3:63" x14ac:dyDescent="0.2">
      <c r="C502" s="26"/>
      <c r="D502" s="26"/>
      <c r="E502" s="26"/>
      <c r="F502" s="26"/>
      <c r="AV502" s="27"/>
      <c r="AW502" s="27"/>
      <c r="AX502" s="27"/>
      <c r="AY502" s="27"/>
      <c r="AZ502" s="27"/>
      <c r="BA502" s="27"/>
      <c r="BB502" s="26"/>
      <c r="BC502" s="27"/>
      <c r="BD502" s="26"/>
      <c r="BE502" s="27"/>
      <c r="BF502" s="26"/>
      <c r="BH502" s="26"/>
      <c r="BI502" s="26"/>
      <c r="BJ502" s="26"/>
      <c r="BK502" s="26"/>
    </row>
    <row r="503" spans="3:63" x14ac:dyDescent="0.2">
      <c r="C503" s="26"/>
      <c r="D503" s="26"/>
      <c r="E503" s="26"/>
      <c r="F503" s="26"/>
      <c r="AV503" s="27"/>
      <c r="AW503" s="27"/>
      <c r="AX503" s="27"/>
      <c r="AY503" s="27"/>
      <c r="AZ503" s="27"/>
      <c r="BA503" s="27"/>
      <c r="BB503" s="26"/>
      <c r="BC503" s="27"/>
      <c r="BD503" s="26"/>
      <c r="BE503" s="27"/>
      <c r="BF503" s="26"/>
      <c r="BH503" s="26"/>
      <c r="BI503" s="26"/>
      <c r="BJ503" s="26"/>
      <c r="BK503" s="26"/>
    </row>
    <row r="504" spans="3:63" x14ac:dyDescent="0.2">
      <c r="C504" s="26"/>
      <c r="D504" s="26"/>
      <c r="E504" s="26"/>
      <c r="F504" s="26"/>
      <c r="AV504" s="27"/>
      <c r="AW504" s="27"/>
      <c r="AX504" s="27"/>
      <c r="AY504" s="27"/>
      <c r="AZ504" s="27"/>
      <c r="BA504" s="27"/>
      <c r="BB504" s="26"/>
      <c r="BC504" s="27"/>
      <c r="BD504" s="26"/>
      <c r="BE504" s="27"/>
      <c r="BF504" s="26"/>
      <c r="BH504" s="26"/>
      <c r="BI504" s="26"/>
      <c r="BJ504" s="26"/>
      <c r="BK504" s="26"/>
    </row>
    <row r="505" spans="3:63" x14ac:dyDescent="0.2">
      <c r="C505" s="26"/>
      <c r="D505" s="26"/>
      <c r="E505" s="26"/>
      <c r="F505" s="26"/>
      <c r="AV505" s="27"/>
      <c r="AW505" s="27"/>
      <c r="AX505" s="27"/>
      <c r="AY505" s="27"/>
      <c r="AZ505" s="27"/>
      <c r="BA505" s="27"/>
      <c r="BB505" s="26"/>
      <c r="BC505" s="27"/>
      <c r="BD505" s="26"/>
      <c r="BE505" s="27"/>
      <c r="BF505" s="26"/>
      <c r="BH505" s="26"/>
      <c r="BI505" s="26"/>
      <c r="BJ505" s="26"/>
      <c r="BK505" s="26"/>
    </row>
    <row r="506" spans="3:63" x14ac:dyDescent="0.2">
      <c r="C506" s="26"/>
      <c r="D506" s="26"/>
      <c r="E506" s="26"/>
      <c r="F506" s="26"/>
      <c r="AV506" s="27"/>
      <c r="AW506" s="27"/>
      <c r="AX506" s="27"/>
      <c r="AY506" s="27"/>
      <c r="AZ506" s="27"/>
      <c r="BA506" s="27"/>
      <c r="BB506" s="26"/>
      <c r="BC506" s="27"/>
      <c r="BD506" s="26"/>
      <c r="BE506" s="27"/>
      <c r="BF506" s="26"/>
      <c r="BH506" s="26"/>
      <c r="BI506" s="26"/>
      <c r="BJ506" s="26"/>
      <c r="BK506" s="26"/>
    </row>
    <row r="507" spans="3:63" x14ac:dyDescent="0.2">
      <c r="C507" s="26"/>
      <c r="D507" s="26"/>
      <c r="E507" s="26"/>
      <c r="F507" s="26"/>
      <c r="AV507" s="27"/>
      <c r="AW507" s="27"/>
      <c r="AX507" s="27"/>
      <c r="AY507" s="27"/>
      <c r="AZ507" s="27"/>
      <c r="BA507" s="27"/>
      <c r="BB507" s="26"/>
      <c r="BC507" s="27"/>
      <c r="BD507" s="26"/>
      <c r="BE507" s="27"/>
      <c r="BF507" s="26"/>
      <c r="BH507" s="26"/>
      <c r="BI507" s="26"/>
      <c r="BJ507" s="26"/>
      <c r="BK507" s="26"/>
    </row>
    <row r="508" spans="3:63" x14ac:dyDescent="0.2">
      <c r="C508" s="26"/>
      <c r="D508" s="26"/>
      <c r="E508" s="26"/>
      <c r="F508" s="26"/>
      <c r="AV508" s="27"/>
      <c r="AW508" s="27"/>
      <c r="AX508" s="27"/>
      <c r="AY508" s="27"/>
      <c r="AZ508" s="27"/>
      <c r="BA508" s="27"/>
      <c r="BB508" s="26"/>
      <c r="BC508" s="27"/>
      <c r="BD508" s="26"/>
      <c r="BE508" s="27"/>
      <c r="BF508" s="26"/>
      <c r="BH508" s="26"/>
      <c r="BI508" s="26"/>
      <c r="BJ508" s="26"/>
      <c r="BK508" s="26"/>
    </row>
    <row r="509" spans="3:63" x14ac:dyDescent="0.2">
      <c r="C509" s="26"/>
      <c r="D509" s="26"/>
      <c r="E509" s="26"/>
      <c r="F509" s="26"/>
      <c r="AV509" s="27"/>
      <c r="AW509" s="27"/>
      <c r="AX509" s="27"/>
      <c r="AY509" s="27"/>
      <c r="AZ509" s="27"/>
      <c r="BA509" s="27"/>
      <c r="BB509" s="26"/>
      <c r="BC509" s="27"/>
      <c r="BD509" s="26"/>
      <c r="BE509" s="27"/>
      <c r="BF509" s="26"/>
      <c r="BH509" s="26"/>
      <c r="BI509" s="26"/>
      <c r="BJ509" s="26"/>
      <c r="BK509" s="26"/>
    </row>
    <row r="510" spans="3:63" x14ac:dyDescent="0.2">
      <c r="C510" s="26"/>
      <c r="D510" s="26"/>
      <c r="E510" s="26"/>
      <c r="F510" s="26"/>
      <c r="AV510" s="27"/>
      <c r="AW510" s="27"/>
      <c r="AX510" s="27"/>
      <c r="AY510" s="27"/>
      <c r="AZ510" s="27"/>
      <c r="BA510" s="27"/>
      <c r="BB510" s="26"/>
      <c r="BC510" s="27"/>
      <c r="BD510" s="26"/>
      <c r="BE510" s="27"/>
      <c r="BF510" s="26"/>
      <c r="BH510" s="26"/>
      <c r="BI510" s="26"/>
      <c r="BJ510" s="26"/>
      <c r="BK510" s="26"/>
    </row>
    <row r="511" spans="3:63" x14ac:dyDescent="0.2">
      <c r="C511" s="26"/>
      <c r="D511" s="26"/>
      <c r="E511" s="26"/>
      <c r="F511" s="26"/>
      <c r="AV511" s="27"/>
      <c r="AW511" s="27"/>
      <c r="AX511" s="27"/>
      <c r="AY511" s="27"/>
      <c r="AZ511" s="27"/>
      <c r="BA511" s="27"/>
      <c r="BB511" s="26"/>
      <c r="BC511" s="27"/>
      <c r="BD511" s="26"/>
      <c r="BE511" s="27"/>
      <c r="BF511" s="26"/>
      <c r="BH511" s="26"/>
      <c r="BI511" s="26"/>
      <c r="BJ511" s="26"/>
      <c r="BK511" s="26"/>
    </row>
    <row r="512" spans="3:63" x14ac:dyDescent="0.2">
      <c r="C512" s="26"/>
      <c r="D512" s="26"/>
      <c r="E512" s="26"/>
      <c r="F512" s="26"/>
      <c r="AV512" s="27"/>
      <c r="AW512" s="27"/>
      <c r="AX512" s="27"/>
      <c r="AY512" s="27"/>
      <c r="AZ512" s="27"/>
      <c r="BA512" s="27"/>
      <c r="BB512" s="26"/>
      <c r="BC512" s="27"/>
      <c r="BD512" s="26"/>
      <c r="BE512" s="27"/>
      <c r="BF512" s="26"/>
      <c r="BH512" s="26"/>
      <c r="BI512" s="26"/>
      <c r="BJ512" s="26"/>
      <c r="BK512" s="26"/>
    </row>
    <row r="513" spans="3:63" x14ac:dyDescent="0.2">
      <c r="C513" s="26"/>
      <c r="D513" s="26"/>
      <c r="E513" s="26"/>
      <c r="F513" s="26"/>
      <c r="AV513" s="27"/>
      <c r="AW513" s="27"/>
      <c r="AX513" s="27"/>
      <c r="AY513" s="27"/>
      <c r="AZ513" s="27"/>
      <c r="BA513" s="27"/>
      <c r="BB513" s="26"/>
      <c r="BC513" s="27"/>
      <c r="BD513" s="26"/>
      <c r="BE513" s="27"/>
      <c r="BF513" s="26"/>
      <c r="BH513" s="26"/>
      <c r="BI513" s="26"/>
      <c r="BJ513" s="26"/>
      <c r="BK513" s="26"/>
    </row>
    <row r="514" spans="3:63" x14ac:dyDescent="0.2">
      <c r="C514" s="26"/>
      <c r="D514" s="26"/>
      <c r="E514" s="26"/>
      <c r="F514" s="26"/>
      <c r="AV514" s="27"/>
      <c r="AW514" s="27"/>
      <c r="AX514" s="27"/>
      <c r="AY514" s="27"/>
      <c r="AZ514" s="27"/>
      <c r="BA514" s="27"/>
      <c r="BB514" s="26"/>
      <c r="BC514" s="27"/>
      <c r="BD514" s="26"/>
      <c r="BE514" s="27"/>
      <c r="BF514" s="26"/>
      <c r="BH514" s="26"/>
      <c r="BI514" s="26"/>
      <c r="BJ514" s="26"/>
      <c r="BK514" s="26"/>
    </row>
    <row r="515" spans="3:63" x14ac:dyDescent="0.2">
      <c r="C515" s="26"/>
      <c r="D515" s="26"/>
      <c r="E515" s="26"/>
      <c r="F515" s="26"/>
      <c r="AV515" s="27"/>
      <c r="AW515" s="27"/>
      <c r="AX515" s="27"/>
      <c r="AY515" s="27"/>
      <c r="AZ515" s="27"/>
      <c r="BA515" s="27"/>
      <c r="BB515" s="26"/>
      <c r="BC515" s="27"/>
      <c r="BD515" s="26"/>
      <c r="BE515" s="27"/>
      <c r="BF515" s="26"/>
      <c r="BH515" s="26"/>
      <c r="BI515" s="26"/>
      <c r="BJ515" s="26"/>
      <c r="BK515" s="26"/>
    </row>
    <row r="516" spans="3:63" x14ac:dyDescent="0.2">
      <c r="C516" s="26"/>
      <c r="D516" s="26"/>
      <c r="E516" s="26"/>
      <c r="F516" s="26"/>
      <c r="AV516" s="27"/>
      <c r="AW516" s="27"/>
      <c r="AX516" s="27"/>
      <c r="AY516" s="27"/>
      <c r="AZ516" s="27"/>
      <c r="BA516" s="27"/>
      <c r="BB516" s="26"/>
      <c r="BC516" s="27"/>
      <c r="BD516" s="26"/>
      <c r="BE516" s="27"/>
      <c r="BF516" s="26"/>
      <c r="BH516" s="26"/>
      <c r="BI516" s="26"/>
      <c r="BJ516" s="26"/>
      <c r="BK516" s="26"/>
    </row>
    <row r="517" spans="3:63" x14ac:dyDescent="0.2">
      <c r="C517" s="26"/>
      <c r="D517" s="26"/>
      <c r="E517" s="26"/>
      <c r="F517" s="26"/>
      <c r="AV517" s="27"/>
      <c r="AW517" s="27"/>
      <c r="AX517" s="27"/>
      <c r="AY517" s="27"/>
      <c r="AZ517" s="27"/>
      <c r="BA517" s="27"/>
      <c r="BB517" s="26"/>
      <c r="BC517" s="27"/>
      <c r="BD517" s="26"/>
      <c r="BE517" s="27"/>
      <c r="BF517" s="26"/>
      <c r="BH517" s="26"/>
      <c r="BI517" s="26"/>
      <c r="BJ517" s="26"/>
      <c r="BK517" s="26"/>
    </row>
    <row r="518" spans="3:63" x14ac:dyDescent="0.2">
      <c r="C518" s="26"/>
      <c r="D518" s="26"/>
      <c r="E518" s="26"/>
      <c r="F518" s="26"/>
      <c r="AV518" s="27"/>
      <c r="AW518" s="27"/>
      <c r="AX518" s="27"/>
      <c r="AY518" s="27"/>
      <c r="AZ518" s="27"/>
      <c r="BA518" s="27"/>
      <c r="BB518" s="26"/>
      <c r="BC518" s="27"/>
      <c r="BD518" s="26"/>
      <c r="BE518" s="27"/>
      <c r="BF518" s="26"/>
      <c r="BH518" s="26"/>
      <c r="BI518" s="26"/>
      <c r="BJ518" s="26"/>
      <c r="BK518" s="26"/>
    </row>
    <row r="519" spans="3:63" x14ac:dyDescent="0.2">
      <c r="C519" s="26"/>
      <c r="D519" s="26"/>
      <c r="E519" s="26"/>
      <c r="F519" s="26"/>
      <c r="AV519" s="27"/>
      <c r="AW519" s="27"/>
      <c r="AX519" s="27"/>
      <c r="AY519" s="27"/>
      <c r="AZ519" s="27"/>
      <c r="BA519" s="27"/>
      <c r="BB519" s="26"/>
      <c r="BC519" s="27"/>
      <c r="BD519" s="26"/>
      <c r="BE519" s="27"/>
      <c r="BF519" s="26"/>
      <c r="BH519" s="26"/>
      <c r="BI519" s="26"/>
      <c r="BJ519" s="26"/>
      <c r="BK519" s="26"/>
    </row>
    <row r="520" spans="3:63" x14ac:dyDescent="0.2">
      <c r="C520" s="26"/>
      <c r="D520" s="26"/>
      <c r="E520" s="26"/>
      <c r="F520" s="26"/>
      <c r="AV520" s="27"/>
      <c r="AW520" s="27"/>
      <c r="AX520" s="27"/>
      <c r="AY520" s="27"/>
      <c r="AZ520" s="27"/>
      <c r="BA520" s="27"/>
      <c r="BB520" s="26"/>
      <c r="BC520" s="27"/>
      <c r="BD520" s="26"/>
      <c r="BE520" s="27"/>
      <c r="BF520" s="26"/>
      <c r="BH520" s="26"/>
      <c r="BI520" s="26"/>
      <c r="BJ520" s="26"/>
      <c r="BK520" s="26"/>
    </row>
    <row r="521" spans="3:63" x14ac:dyDescent="0.2">
      <c r="C521" s="26"/>
      <c r="D521" s="26"/>
      <c r="E521" s="26"/>
      <c r="F521" s="26"/>
      <c r="AV521" s="27"/>
      <c r="AW521" s="27"/>
      <c r="AX521" s="27"/>
      <c r="AY521" s="27"/>
      <c r="AZ521" s="27"/>
      <c r="BA521" s="27"/>
      <c r="BB521" s="26"/>
      <c r="BC521" s="27"/>
      <c r="BD521" s="26"/>
      <c r="BE521" s="27"/>
      <c r="BF521" s="26"/>
      <c r="BH521" s="26"/>
      <c r="BI521" s="26"/>
      <c r="BJ521" s="26"/>
      <c r="BK521" s="26"/>
    </row>
    <row r="522" spans="3:63" x14ac:dyDescent="0.2">
      <c r="C522" s="26"/>
      <c r="D522" s="26"/>
      <c r="E522" s="26"/>
      <c r="F522" s="26"/>
      <c r="AV522" s="27"/>
      <c r="AW522" s="27"/>
      <c r="AX522" s="27"/>
      <c r="AY522" s="27"/>
      <c r="AZ522" s="27"/>
      <c r="BA522" s="27"/>
      <c r="BB522" s="26"/>
      <c r="BC522" s="27"/>
      <c r="BD522" s="26"/>
      <c r="BE522" s="27"/>
      <c r="BF522" s="26"/>
      <c r="BH522" s="26"/>
      <c r="BI522" s="26"/>
      <c r="BJ522" s="26"/>
      <c r="BK522" s="26"/>
    </row>
    <row r="523" spans="3:63" x14ac:dyDescent="0.2">
      <c r="C523" s="26"/>
      <c r="D523" s="26"/>
      <c r="E523" s="26"/>
      <c r="F523" s="26"/>
      <c r="AV523" s="27"/>
      <c r="AW523" s="27"/>
      <c r="AX523" s="27"/>
      <c r="AY523" s="27"/>
      <c r="AZ523" s="27"/>
      <c r="BA523" s="27"/>
      <c r="BB523" s="26"/>
      <c r="BC523" s="27"/>
      <c r="BD523" s="26"/>
      <c r="BE523" s="27"/>
      <c r="BF523" s="26"/>
      <c r="BH523" s="26"/>
      <c r="BI523" s="26"/>
      <c r="BJ523" s="26"/>
      <c r="BK523" s="26"/>
    </row>
    <row r="524" spans="3:63" x14ac:dyDescent="0.2">
      <c r="C524" s="26"/>
      <c r="D524" s="26"/>
      <c r="E524" s="26"/>
      <c r="F524" s="26"/>
      <c r="AV524" s="27"/>
      <c r="AW524" s="27"/>
      <c r="AX524" s="27"/>
      <c r="AY524" s="27"/>
      <c r="AZ524" s="27"/>
      <c r="BA524" s="27"/>
      <c r="BB524" s="26"/>
      <c r="BC524" s="27"/>
      <c r="BD524" s="26"/>
      <c r="BE524" s="27"/>
      <c r="BF524" s="26"/>
      <c r="BH524" s="26"/>
      <c r="BI524" s="26"/>
      <c r="BJ524" s="26"/>
      <c r="BK524" s="26"/>
    </row>
    <row r="525" spans="3:63" x14ac:dyDescent="0.2">
      <c r="C525" s="26"/>
      <c r="D525" s="26"/>
      <c r="E525" s="26"/>
      <c r="F525" s="26"/>
      <c r="AV525" s="27"/>
      <c r="AW525" s="27"/>
      <c r="AX525" s="27"/>
      <c r="AY525" s="27"/>
      <c r="AZ525" s="27"/>
      <c r="BA525" s="27"/>
      <c r="BB525" s="26"/>
      <c r="BC525" s="27"/>
      <c r="BD525" s="26"/>
      <c r="BE525" s="27"/>
      <c r="BF525" s="26"/>
      <c r="BH525" s="26"/>
      <c r="BI525" s="26"/>
      <c r="BJ525" s="26"/>
      <c r="BK525" s="26"/>
    </row>
    <row r="526" spans="3:63" x14ac:dyDescent="0.2">
      <c r="C526" s="26"/>
      <c r="D526" s="26"/>
      <c r="E526" s="26"/>
      <c r="F526" s="26"/>
      <c r="AV526" s="27"/>
      <c r="AW526" s="27"/>
      <c r="AX526" s="27"/>
      <c r="AY526" s="27"/>
      <c r="AZ526" s="27"/>
      <c r="BA526" s="27"/>
      <c r="BB526" s="26"/>
      <c r="BC526" s="27"/>
      <c r="BD526" s="26"/>
      <c r="BE526" s="27"/>
      <c r="BF526" s="26"/>
      <c r="BH526" s="26"/>
      <c r="BI526" s="26"/>
      <c r="BJ526" s="26"/>
      <c r="BK526" s="26"/>
    </row>
    <row r="527" spans="3:63" x14ac:dyDescent="0.2">
      <c r="C527" s="26"/>
      <c r="D527" s="26"/>
      <c r="E527" s="26"/>
      <c r="F527" s="26"/>
      <c r="AV527" s="27"/>
      <c r="AW527" s="27"/>
      <c r="AX527" s="27"/>
      <c r="AY527" s="27"/>
      <c r="AZ527" s="27"/>
      <c r="BA527" s="27"/>
      <c r="BB527" s="26"/>
      <c r="BC527" s="27"/>
      <c r="BD527" s="26"/>
      <c r="BE527" s="27"/>
      <c r="BF527" s="26"/>
      <c r="BH527" s="26"/>
      <c r="BI527" s="26"/>
      <c r="BJ527" s="26"/>
      <c r="BK527" s="26"/>
    </row>
    <row r="528" spans="3:63" x14ac:dyDescent="0.2">
      <c r="C528" s="26"/>
      <c r="D528" s="26"/>
      <c r="E528" s="26"/>
      <c r="F528" s="26"/>
      <c r="AV528" s="27"/>
      <c r="AW528" s="27"/>
      <c r="AX528" s="27"/>
      <c r="AY528" s="27"/>
      <c r="AZ528" s="27"/>
      <c r="BA528" s="27"/>
      <c r="BB528" s="26"/>
      <c r="BC528" s="27"/>
      <c r="BD528" s="26"/>
      <c r="BE528" s="27"/>
      <c r="BF528" s="26"/>
      <c r="BH528" s="26"/>
      <c r="BI528" s="26"/>
      <c r="BJ528" s="26"/>
      <c r="BK528" s="26"/>
    </row>
    <row r="529" spans="3:63" x14ac:dyDescent="0.2">
      <c r="C529" s="26"/>
      <c r="D529" s="26"/>
      <c r="E529" s="26"/>
      <c r="F529" s="26"/>
      <c r="AV529" s="27"/>
      <c r="AW529" s="27"/>
      <c r="AX529" s="27"/>
      <c r="AY529" s="27"/>
      <c r="AZ529" s="27"/>
      <c r="BA529" s="27"/>
      <c r="BB529" s="26"/>
      <c r="BC529" s="27"/>
      <c r="BD529" s="26"/>
      <c r="BE529" s="27"/>
      <c r="BF529" s="26"/>
      <c r="BH529" s="26"/>
      <c r="BI529" s="26"/>
      <c r="BJ529" s="26"/>
      <c r="BK529" s="26"/>
    </row>
    <row r="530" spans="3:63" x14ac:dyDescent="0.2">
      <c r="C530" s="26"/>
      <c r="D530" s="26"/>
      <c r="E530" s="26"/>
      <c r="F530" s="26"/>
      <c r="AV530" s="27"/>
      <c r="AW530" s="27"/>
      <c r="AX530" s="27"/>
      <c r="AY530" s="27"/>
      <c r="AZ530" s="27"/>
      <c r="BA530" s="27"/>
      <c r="BB530" s="26"/>
      <c r="BC530" s="27"/>
      <c r="BD530" s="26"/>
      <c r="BE530" s="27"/>
      <c r="BF530" s="26"/>
      <c r="BH530" s="26"/>
      <c r="BI530" s="26"/>
      <c r="BJ530" s="26"/>
      <c r="BK530" s="26"/>
    </row>
    <row r="531" spans="3:63" x14ac:dyDescent="0.2">
      <c r="C531" s="26"/>
      <c r="D531" s="26"/>
      <c r="E531" s="26"/>
      <c r="F531" s="26"/>
      <c r="AV531" s="27"/>
      <c r="AW531" s="27"/>
      <c r="AX531" s="27"/>
      <c r="AY531" s="27"/>
      <c r="AZ531" s="27"/>
      <c r="BA531" s="27"/>
      <c r="BB531" s="26"/>
      <c r="BC531" s="27"/>
      <c r="BD531" s="26"/>
      <c r="BE531" s="27"/>
      <c r="BF531" s="26"/>
      <c r="BH531" s="26"/>
      <c r="BI531" s="26"/>
      <c r="BJ531" s="26"/>
      <c r="BK531" s="26"/>
    </row>
    <row r="532" spans="3:63" x14ac:dyDescent="0.2">
      <c r="C532" s="26"/>
      <c r="D532" s="26"/>
      <c r="E532" s="26"/>
      <c r="F532" s="26"/>
      <c r="AV532" s="27"/>
      <c r="AW532" s="27"/>
      <c r="AX532" s="27"/>
      <c r="AY532" s="27"/>
      <c r="AZ532" s="27"/>
      <c r="BA532" s="27"/>
      <c r="BB532" s="26"/>
      <c r="BC532" s="27"/>
      <c r="BD532" s="26"/>
      <c r="BE532" s="27"/>
      <c r="BF532" s="26"/>
      <c r="BH532" s="26"/>
      <c r="BI532" s="26"/>
      <c r="BJ532" s="26"/>
      <c r="BK532" s="26"/>
    </row>
    <row r="533" spans="3:63" x14ac:dyDescent="0.2">
      <c r="C533" s="26"/>
      <c r="D533" s="26"/>
      <c r="E533" s="26"/>
      <c r="F533" s="26"/>
      <c r="AV533" s="27"/>
      <c r="AW533" s="27"/>
      <c r="AX533" s="27"/>
      <c r="AY533" s="27"/>
      <c r="AZ533" s="27"/>
      <c r="BA533" s="27"/>
      <c r="BB533" s="26"/>
      <c r="BC533" s="27"/>
      <c r="BD533" s="26"/>
      <c r="BE533" s="27"/>
      <c r="BF533" s="26"/>
      <c r="BH533" s="26"/>
      <c r="BI533" s="26"/>
      <c r="BJ533" s="26"/>
      <c r="BK533" s="26"/>
    </row>
    <row r="534" spans="3:63" x14ac:dyDescent="0.2">
      <c r="C534" s="26"/>
      <c r="D534" s="26"/>
      <c r="E534" s="26"/>
      <c r="F534" s="26"/>
      <c r="AV534" s="27"/>
      <c r="AW534" s="27"/>
      <c r="AX534" s="27"/>
      <c r="AY534" s="27"/>
      <c r="AZ534" s="27"/>
      <c r="BA534" s="27"/>
      <c r="BB534" s="26"/>
      <c r="BC534" s="27"/>
      <c r="BD534" s="26"/>
      <c r="BE534" s="27"/>
      <c r="BF534" s="26"/>
      <c r="BH534" s="26"/>
      <c r="BI534" s="26"/>
      <c r="BJ534" s="26"/>
      <c r="BK534" s="26"/>
    </row>
    <row r="535" spans="3:63" x14ac:dyDescent="0.2">
      <c r="C535" s="26"/>
      <c r="D535" s="26"/>
      <c r="E535" s="26"/>
      <c r="F535" s="26"/>
      <c r="AV535" s="27"/>
      <c r="AW535" s="27"/>
      <c r="AX535" s="27"/>
      <c r="AY535" s="27"/>
      <c r="AZ535" s="27"/>
      <c r="BA535" s="27"/>
      <c r="BB535" s="26"/>
      <c r="BC535" s="27"/>
      <c r="BD535" s="26"/>
      <c r="BE535" s="27"/>
      <c r="BF535" s="26"/>
      <c r="BH535" s="26"/>
      <c r="BI535" s="26"/>
      <c r="BJ535" s="26"/>
      <c r="BK535" s="26"/>
    </row>
    <row r="536" spans="3:63" x14ac:dyDescent="0.2">
      <c r="C536" s="26"/>
      <c r="D536" s="26"/>
      <c r="E536" s="26"/>
      <c r="F536" s="26"/>
      <c r="AV536" s="27"/>
      <c r="AW536" s="27"/>
      <c r="AX536" s="27"/>
      <c r="AY536" s="27"/>
      <c r="AZ536" s="27"/>
      <c r="BA536" s="27"/>
      <c r="BB536" s="26"/>
      <c r="BC536" s="27"/>
      <c r="BD536" s="26"/>
      <c r="BE536" s="27"/>
      <c r="BF536" s="26"/>
      <c r="BH536" s="26"/>
      <c r="BI536" s="26"/>
      <c r="BJ536" s="26"/>
      <c r="BK536" s="26"/>
    </row>
    <row r="537" spans="3:63" x14ac:dyDescent="0.2">
      <c r="C537" s="26"/>
      <c r="D537" s="26"/>
      <c r="E537" s="26"/>
      <c r="F537" s="26"/>
      <c r="AV537" s="27"/>
      <c r="AW537" s="27"/>
      <c r="AX537" s="27"/>
      <c r="AY537" s="27"/>
      <c r="AZ537" s="27"/>
      <c r="BA537" s="27"/>
      <c r="BB537" s="26"/>
      <c r="BC537" s="27"/>
      <c r="BD537" s="26"/>
      <c r="BE537" s="27"/>
      <c r="BF537" s="26"/>
      <c r="BH537" s="26"/>
      <c r="BI537" s="26"/>
      <c r="BJ537" s="26"/>
      <c r="BK537" s="26"/>
    </row>
    <row r="538" spans="3:63" x14ac:dyDescent="0.2">
      <c r="C538" s="26"/>
      <c r="D538" s="26"/>
      <c r="E538" s="26"/>
      <c r="F538" s="26"/>
      <c r="AV538" s="27"/>
      <c r="AW538" s="27"/>
      <c r="AX538" s="27"/>
      <c r="AY538" s="27"/>
      <c r="AZ538" s="27"/>
      <c r="BA538" s="27"/>
      <c r="BB538" s="26"/>
      <c r="BC538" s="27"/>
      <c r="BD538" s="26"/>
      <c r="BE538" s="27"/>
      <c r="BF538" s="26"/>
      <c r="BH538" s="26"/>
      <c r="BI538" s="26"/>
      <c r="BJ538" s="26"/>
      <c r="BK538" s="26"/>
    </row>
    <row r="539" spans="3:63" x14ac:dyDescent="0.2">
      <c r="C539" s="26"/>
      <c r="D539" s="26"/>
      <c r="E539" s="26"/>
      <c r="F539" s="26"/>
      <c r="AV539" s="27"/>
      <c r="AW539" s="27"/>
      <c r="AX539" s="27"/>
      <c r="AY539" s="27"/>
      <c r="AZ539" s="27"/>
      <c r="BA539" s="27"/>
      <c r="BB539" s="26"/>
      <c r="BC539" s="27"/>
      <c r="BD539" s="26"/>
      <c r="BE539" s="27"/>
      <c r="BF539" s="26"/>
      <c r="BH539" s="26"/>
      <c r="BI539" s="26"/>
      <c r="BJ539" s="26"/>
      <c r="BK539" s="26"/>
    </row>
    <row r="540" spans="3:63" x14ac:dyDescent="0.2">
      <c r="C540" s="26"/>
      <c r="D540" s="26"/>
      <c r="E540" s="26"/>
      <c r="F540" s="26"/>
      <c r="AV540" s="27"/>
      <c r="AW540" s="27"/>
      <c r="AX540" s="27"/>
      <c r="AY540" s="27"/>
      <c r="AZ540" s="27"/>
      <c r="BA540" s="27"/>
      <c r="BB540" s="26"/>
      <c r="BC540" s="27"/>
      <c r="BD540" s="26"/>
      <c r="BE540" s="27"/>
      <c r="BF540" s="26"/>
      <c r="BH540" s="26"/>
      <c r="BI540" s="26"/>
      <c r="BJ540" s="26"/>
      <c r="BK540" s="26"/>
    </row>
    <row r="541" spans="3:63" x14ac:dyDescent="0.2">
      <c r="C541" s="26"/>
      <c r="D541" s="26"/>
      <c r="E541" s="26"/>
      <c r="F541" s="26"/>
      <c r="AV541" s="27"/>
      <c r="AW541" s="27"/>
      <c r="AX541" s="27"/>
      <c r="AY541" s="27"/>
      <c r="AZ541" s="27"/>
      <c r="BA541" s="27"/>
      <c r="BB541" s="26"/>
      <c r="BC541" s="27"/>
      <c r="BD541" s="26"/>
      <c r="BE541" s="27"/>
      <c r="BF541" s="26"/>
      <c r="BH541" s="26"/>
      <c r="BI541" s="26"/>
      <c r="BJ541" s="26"/>
      <c r="BK541" s="26"/>
    </row>
    <row r="542" spans="3:63" x14ac:dyDescent="0.2">
      <c r="C542" s="26"/>
      <c r="D542" s="26"/>
      <c r="E542" s="26"/>
      <c r="F542" s="26"/>
      <c r="AV542" s="27"/>
      <c r="AW542" s="27"/>
      <c r="AX542" s="27"/>
      <c r="AY542" s="27"/>
      <c r="AZ542" s="27"/>
      <c r="BA542" s="27"/>
      <c r="BB542" s="26"/>
      <c r="BC542" s="27"/>
      <c r="BD542" s="26"/>
      <c r="BE542" s="27"/>
      <c r="BF542" s="26"/>
      <c r="BH542" s="26"/>
      <c r="BI542" s="26"/>
      <c r="BJ542" s="26"/>
      <c r="BK542" s="26"/>
    </row>
    <row r="543" spans="3:63" x14ac:dyDescent="0.2">
      <c r="C543" s="26"/>
      <c r="D543" s="26"/>
      <c r="E543" s="26"/>
      <c r="F543" s="26"/>
      <c r="AV543" s="27"/>
      <c r="AW543" s="27"/>
      <c r="AX543" s="27"/>
      <c r="AY543" s="27"/>
      <c r="AZ543" s="27"/>
      <c r="BA543" s="27"/>
      <c r="BB543" s="26"/>
      <c r="BC543" s="27"/>
      <c r="BD543" s="26"/>
      <c r="BE543" s="27"/>
      <c r="BF543" s="26"/>
      <c r="BH543" s="26"/>
      <c r="BI543" s="26"/>
      <c r="BJ543" s="26"/>
      <c r="BK543" s="26"/>
    </row>
    <row r="544" spans="3:63" x14ac:dyDescent="0.2">
      <c r="C544" s="26"/>
      <c r="D544" s="26"/>
      <c r="E544" s="26"/>
      <c r="F544" s="26"/>
      <c r="AV544" s="27"/>
      <c r="AW544" s="27"/>
      <c r="AX544" s="27"/>
      <c r="AY544" s="27"/>
      <c r="AZ544" s="27"/>
      <c r="BA544" s="27"/>
      <c r="BB544" s="26"/>
      <c r="BC544" s="27"/>
      <c r="BD544" s="26"/>
      <c r="BE544" s="27"/>
      <c r="BF544" s="26"/>
      <c r="BH544" s="26"/>
      <c r="BI544" s="26"/>
      <c r="BJ544" s="26"/>
      <c r="BK544" s="26"/>
    </row>
    <row r="545" spans="3:63" x14ac:dyDescent="0.2">
      <c r="C545" s="26"/>
      <c r="D545" s="26"/>
      <c r="E545" s="26"/>
      <c r="F545" s="26"/>
      <c r="AV545" s="27"/>
      <c r="AW545" s="27"/>
      <c r="AX545" s="27"/>
      <c r="AY545" s="27"/>
      <c r="AZ545" s="27"/>
      <c r="BA545" s="27"/>
      <c r="BB545" s="26"/>
      <c r="BC545" s="27"/>
      <c r="BD545" s="26"/>
      <c r="BE545" s="27"/>
      <c r="BF545" s="26"/>
      <c r="BH545" s="26"/>
      <c r="BI545" s="26"/>
      <c r="BJ545" s="26"/>
      <c r="BK545" s="26"/>
    </row>
    <row r="546" spans="3:63" x14ac:dyDescent="0.2">
      <c r="C546" s="26"/>
      <c r="D546" s="26"/>
      <c r="E546" s="26"/>
      <c r="F546" s="26"/>
      <c r="AV546" s="27"/>
      <c r="AW546" s="27"/>
      <c r="AX546" s="27"/>
      <c r="AY546" s="27"/>
      <c r="AZ546" s="27"/>
      <c r="BA546" s="27"/>
      <c r="BB546" s="26"/>
      <c r="BC546" s="27"/>
      <c r="BD546" s="26"/>
      <c r="BE546" s="27"/>
      <c r="BF546" s="26"/>
      <c r="BH546" s="26"/>
      <c r="BI546" s="26"/>
      <c r="BJ546" s="26"/>
      <c r="BK546" s="26"/>
    </row>
    <row r="547" spans="3:63" x14ac:dyDescent="0.2">
      <c r="C547" s="26"/>
      <c r="D547" s="26"/>
      <c r="E547" s="26"/>
      <c r="F547" s="26"/>
      <c r="AV547" s="27"/>
      <c r="AW547" s="27"/>
      <c r="AX547" s="27"/>
      <c r="AY547" s="27"/>
      <c r="AZ547" s="27"/>
      <c r="BA547" s="27"/>
      <c r="BB547" s="26"/>
      <c r="BC547" s="27"/>
      <c r="BD547" s="26"/>
      <c r="BE547" s="27"/>
      <c r="BF547" s="26"/>
      <c r="BH547" s="26"/>
      <c r="BI547" s="26"/>
      <c r="BJ547" s="26"/>
      <c r="BK547" s="26"/>
    </row>
    <row r="548" spans="3:63" x14ac:dyDescent="0.2">
      <c r="C548" s="26"/>
      <c r="D548" s="26"/>
      <c r="E548" s="26"/>
      <c r="F548" s="26"/>
      <c r="AV548" s="27"/>
      <c r="AW548" s="27"/>
      <c r="AX548" s="27"/>
      <c r="AY548" s="27"/>
      <c r="AZ548" s="27"/>
      <c r="BA548" s="27"/>
      <c r="BB548" s="26"/>
      <c r="BC548" s="27"/>
      <c r="BD548" s="26"/>
      <c r="BE548" s="27"/>
      <c r="BF548" s="26"/>
      <c r="BH548" s="26"/>
      <c r="BI548" s="26"/>
      <c r="BJ548" s="26"/>
      <c r="BK548" s="26"/>
    </row>
    <row r="549" spans="3:63" x14ac:dyDescent="0.2">
      <c r="C549" s="26"/>
      <c r="D549" s="26"/>
      <c r="E549" s="26"/>
      <c r="F549" s="26"/>
      <c r="AV549" s="27"/>
      <c r="AW549" s="27"/>
      <c r="AX549" s="27"/>
      <c r="AY549" s="27"/>
      <c r="AZ549" s="27"/>
      <c r="BA549" s="27"/>
      <c r="BB549" s="26"/>
      <c r="BC549" s="27"/>
      <c r="BD549" s="26"/>
      <c r="BE549" s="27"/>
      <c r="BF549" s="26"/>
      <c r="BH549" s="26"/>
      <c r="BI549" s="26"/>
      <c r="BJ549" s="26"/>
      <c r="BK549" s="26"/>
    </row>
    <row r="550" spans="3:63" x14ac:dyDescent="0.2">
      <c r="C550" s="26"/>
      <c r="D550" s="26"/>
      <c r="E550" s="26"/>
      <c r="F550" s="26"/>
      <c r="AV550" s="27"/>
      <c r="AW550" s="27"/>
      <c r="AX550" s="27"/>
      <c r="AY550" s="27"/>
      <c r="AZ550" s="27"/>
      <c r="BA550" s="27"/>
      <c r="BB550" s="26"/>
      <c r="BC550" s="27"/>
      <c r="BD550" s="26"/>
      <c r="BE550" s="27"/>
      <c r="BF550" s="26"/>
      <c r="BH550" s="26"/>
      <c r="BI550" s="26"/>
      <c r="BJ550" s="26"/>
      <c r="BK550" s="26"/>
    </row>
    <row r="551" spans="3:63" x14ac:dyDescent="0.2">
      <c r="C551" s="26"/>
      <c r="D551" s="26"/>
      <c r="E551" s="26"/>
      <c r="F551" s="26"/>
      <c r="AV551" s="27"/>
      <c r="AW551" s="27"/>
      <c r="AX551" s="27"/>
      <c r="AY551" s="27"/>
      <c r="AZ551" s="27"/>
      <c r="BA551" s="27"/>
      <c r="BB551" s="26"/>
      <c r="BC551" s="27"/>
      <c r="BD551" s="26"/>
      <c r="BE551" s="27"/>
      <c r="BF551" s="26"/>
      <c r="BH551" s="26"/>
      <c r="BI551" s="26"/>
      <c r="BJ551" s="26"/>
      <c r="BK551" s="26"/>
    </row>
    <row r="552" spans="3:63" x14ac:dyDescent="0.2">
      <c r="C552" s="26"/>
      <c r="D552" s="26"/>
      <c r="E552" s="26"/>
      <c r="F552" s="26"/>
      <c r="AV552" s="27"/>
      <c r="AW552" s="27"/>
      <c r="AX552" s="27"/>
      <c r="AY552" s="27"/>
      <c r="AZ552" s="27"/>
      <c r="BA552" s="27"/>
      <c r="BB552" s="26"/>
      <c r="BC552" s="27"/>
      <c r="BD552" s="26"/>
      <c r="BE552" s="27"/>
      <c r="BF552" s="26"/>
      <c r="BH552" s="26"/>
      <c r="BI552" s="26"/>
      <c r="BJ552" s="26"/>
      <c r="BK552" s="26"/>
    </row>
    <row r="553" spans="3:63" x14ac:dyDescent="0.2">
      <c r="C553" s="26"/>
      <c r="D553" s="26"/>
      <c r="E553" s="26"/>
      <c r="F553" s="26"/>
      <c r="AV553" s="27"/>
      <c r="AW553" s="27"/>
      <c r="AX553" s="27"/>
      <c r="AY553" s="27"/>
      <c r="AZ553" s="27"/>
      <c r="BA553" s="27"/>
      <c r="BB553" s="26"/>
      <c r="BC553" s="27"/>
      <c r="BD553" s="26"/>
      <c r="BE553" s="27"/>
      <c r="BF553" s="26"/>
      <c r="BH553" s="26"/>
      <c r="BI553" s="26"/>
      <c r="BJ553" s="26"/>
      <c r="BK553" s="26"/>
    </row>
    <row r="554" spans="3:63" x14ac:dyDescent="0.2">
      <c r="C554" s="26"/>
      <c r="D554" s="26"/>
      <c r="E554" s="26"/>
      <c r="F554" s="26"/>
      <c r="AV554" s="27"/>
      <c r="AW554" s="27"/>
      <c r="AX554" s="27"/>
      <c r="AY554" s="27"/>
      <c r="AZ554" s="27"/>
      <c r="BA554" s="27"/>
      <c r="BB554" s="26"/>
      <c r="BC554" s="27"/>
      <c r="BD554" s="26"/>
      <c r="BE554" s="27"/>
      <c r="BF554" s="26"/>
      <c r="BH554" s="26"/>
      <c r="BI554" s="26"/>
      <c r="BJ554" s="26"/>
      <c r="BK554" s="26"/>
    </row>
    <row r="555" spans="3:63" x14ac:dyDescent="0.2">
      <c r="C555" s="26"/>
      <c r="D555" s="26"/>
      <c r="E555" s="26"/>
      <c r="F555" s="26"/>
      <c r="AV555" s="27"/>
      <c r="AW555" s="27"/>
      <c r="AX555" s="27"/>
      <c r="AY555" s="27"/>
      <c r="AZ555" s="27"/>
      <c r="BA555" s="27"/>
      <c r="BB555" s="26"/>
      <c r="BC555" s="27"/>
      <c r="BD555" s="26"/>
      <c r="BE555" s="27"/>
      <c r="BF555" s="26"/>
      <c r="BH555" s="26"/>
      <c r="BI555" s="26"/>
      <c r="BJ555" s="26"/>
      <c r="BK555" s="26"/>
    </row>
    <row r="556" spans="3:63" x14ac:dyDescent="0.2">
      <c r="C556" s="26"/>
      <c r="D556" s="26"/>
      <c r="E556" s="26"/>
      <c r="F556" s="26"/>
      <c r="AV556" s="27"/>
      <c r="AW556" s="27"/>
      <c r="AX556" s="27"/>
      <c r="AY556" s="27"/>
      <c r="AZ556" s="27"/>
      <c r="BA556" s="27"/>
      <c r="BB556" s="26"/>
      <c r="BC556" s="27"/>
      <c r="BD556" s="26"/>
      <c r="BE556" s="27"/>
      <c r="BF556" s="26"/>
      <c r="BH556" s="26"/>
      <c r="BI556" s="26"/>
      <c r="BJ556" s="26"/>
      <c r="BK556" s="26"/>
    </row>
    <row r="557" spans="3:63" x14ac:dyDescent="0.2">
      <c r="C557" s="26"/>
      <c r="D557" s="26"/>
      <c r="E557" s="26"/>
      <c r="F557" s="26"/>
      <c r="AV557" s="27"/>
      <c r="AW557" s="27"/>
      <c r="AX557" s="27"/>
      <c r="AY557" s="27"/>
      <c r="AZ557" s="27"/>
      <c r="BA557" s="27"/>
      <c r="BB557" s="26"/>
      <c r="BC557" s="27"/>
      <c r="BD557" s="26"/>
      <c r="BE557" s="27"/>
      <c r="BF557" s="26"/>
      <c r="BH557" s="26"/>
      <c r="BI557" s="26"/>
      <c r="BJ557" s="26"/>
      <c r="BK557" s="26"/>
    </row>
    <row r="558" spans="3:63" x14ac:dyDescent="0.2">
      <c r="C558" s="26"/>
      <c r="D558" s="26"/>
      <c r="E558" s="26"/>
      <c r="F558" s="26"/>
      <c r="AV558" s="27"/>
      <c r="AW558" s="27"/>
      <c r="AX558" s="27"/>
      <c r="AY558" s="27"/>
      <c r="AZ558" s="27"/>
      <c r="BA558" s="27"/>
      <c r="BB558" s="26"/>
      <c r="BC558" s="27"/>
      <c r="BD558" s="26"/>
      <c r="BE558" s="27"/>
      <c r="BF558" s="26"/>
      <c r="BH558" s="26"/>
      <c r="BI558" s="26"/>
      <c r="BJ558" s="26"/>
      <c r="BK558" s="26"/>
    </row>
    <row r="559" spans="3:63" x14ac:dyDescent="0.2">
      <c r="C559" s="26"/>
      <c r="D559" s="26"/>
      <c r="E559" s="26"/>
      <c r="F559" s="26"/>
      <c r="AV559" s="27"/>
      <c r="AW559" s="27"/>
      <c r="AX559" s="27"/>
      <c r="AY559" s="27"/>
      <c r="AZ559" s="27"/>
      <c r="BA559" s="27"/>
      <c r="BB559" s="26"/>
      <c r="BC559" s="27"/>
      <c r="BD559" s="26"/>
      <c r="BE559" s="27"/>
      <c r="BF559" s="26"/>
      <c r="BH559" s="26"/>
      <c r="BI559" s="26"/>
      <c r="BJ559" s="26"/>
      <c r="BK559" s="26"/>
    </row>
    <row r="560" spans="3:63" x14ac:dyDescent="0.2">
      <c r="C560" s="26"/>
      <c r="D560" s="26"/>
      <c r="E560" s="26"/>
      <c r="F560" s="26"/>
      <c r="AV560" s="27"/>
      <c r="AW560" s="27"/>
      <c r="AX560" s="27"/>
      <c r="AY560" s="27"/>
      <c r="AZ560" s="27"/>
      <c r="BA560" s="27"/>
      <c r="BB560" s="26"/>
      <c r="BC560" s="27"/>
      <c r="BD560" s="26"/>
      <c r="BE560" s="27"/>
      <c r="BF560" s="26"/>
      <c r="BH560" s="26"/>
      <c r="BI560" s="26"/>
      <c r="BJ560" s="26"/>
      <c r="BK560" s="26"/>
    </row>
    <row r="561" spans="3:63" x14ac:dyDescent="0.2">
      <c r="C561" s="26"/>
      <c r="D561" s="26"/>
      <c r="E561" s="26"/>
      <c r="F561" s="26"/>
      <c r="AV561" s="27"/>
      <c r="AW561" s="27"/>
      <c r="AX561" s="27"/>
      <c r="AY561" s="27"/>
      <c r="AZ561" s="27"/>
      <c r="BA561" s="27"/>
      <c r="BB561" s="26"/>
      <c r="BC561" s="27"/>
      <c r="BD561" s="26"/>
      <c r="BE561" s="27"/>
      <c r="BF561" s="26"/>
      <c r="BH561" s="26"/>
      <c r="BI561" s="26"/>
      <c r="BJ561" s="26"/>
      <c r="BK561" s="26"/>
    </row>
    <row r="562" spans="3:63" x14ac:dyDescent="0.2">
      <c r="C562" s="26"/>
      <c r="D562" s="26"/>
      <c r="E562" s="26"/>
      <c r="F562" s="26"/>
      <c r="AV562" s="27"/>
      <c r="AW562" s="27"/>
      <c r="AX562" s="27"/>
      <c r="AY562" s="27"/>
      <c r="AZ562" s="27"/>
      <c r="BA562" s="27"/>
      <c r="BB562" s="26"/>
      <c r="BC562" s="27"/>
      <c r="BD562" s="26"/>
      <c r="BE562" s="27"/>
      <c r="BF562" s="26"/>
      <c r="BH562" s="26"/>
      <c r="BI562" s="26"/>
      <c r="BJ562" s="26"/>
      <c r="BK562" s="26"/>
    </row>
    <row r="563" spans="3:63" x14ac:dyDescent="0.2">
      <c r="C563" s="26"/>
      <c r="D563" s="26"/>
      <c r="E563" s="26"/>
      <c r="F563" s="26"/>
      <c r="AV563" s="27"/>
      <c r="AW563" s="27"/>
      <c r="AX563" s="27"/>
      <c r="AY563" s="27"/>
      <c r="AZ563" s="27"/>
      <c r="BA563" s="27"/>
      <c r="BB563" s="26"/>
      <c r="BC563" s="27"/>
      <c r="BD563" s="26"/>
      <c r="BE563" s="27"/>
      <c r="BF563" s="26"/>
      <c r="BH563" s="26"/>
      <c r="BI563" s="26"/>
      <c r="BJ563" s="26"/>
      <c r="BK563" s="26"/>
    </row>
    <row r="564" spans="3:63" x14ac:dyDescent="0.2">
      <c r="C564" s="26"/>
      <c r="D564" s="26"/>
      <c r="E564" s="26"/>
      <c r="F564" s="26"/>
      <c r="AV564" s="27"/>
      <c r="AW564" s="27"/>
      <c r="AX564" s="27"/>
      <c r="AY564" s="27"/>
      <c r="AZ564" s="27"/>
      <c r="BA564" s="27"/>
      <c r="BB564" s="26"/>
      <c r="BC564" s="27"/>
      <c r="BD564" s="26"/>
      <c r="BE564" s="27"/>
      <c r="BF564" s="26"/>
      <c r="BH564" s="26"/>
      <c r="BI564" s="26"/>
      <c r="BJ564" s="26"/>
      <c r="BK564" s="26"/>
    </row>
    <row r="565" spans="3:63" x14ac:dyDescent="0.2">
      <c r="C565" s="26"/>
      <c r="D565" s="26"/>
      <c r="E565" s="26"/>
      <c r="F565" s="26"/>
      <c r="AV565" s="27"/>
      <c r="AW565" s="27"/>
      <c r="AX565" s="27"/>
      <c r="AY565" s="27"/>
      <c r="AZ565" s="27"/>
      <c r="BA565" s="27"/>
      <c r="BB565" s="26"/>
      <c r="BC565" s="27"/>
      <c r="BD565" s="26"/>
      <c r="BE565" s="27"/>
      <c r="BF565" s="26"/>
      <c r="BH565" s="26"/>
      <c r="BI565" s="26"/>
      <c r="BJ565" s="26"/>
      <c r="BK565" s="26"/>
    </row>
    <row r="566" spans="3:63" x14ac:dyDescent="0.2">
      <c r="C566" s="26"/>
      <c r="D566" s="26"/>
      <c r="E566" s="26"/>
      <c r="F566" s="26"/>
      <c r="AV566" s="27"/>
      <c r="AW566" s="27"/>
      <c r="AX566" s="27"/>
      <c r="AY566" s="27"/>
      <c r="AZ566" s="27"/>
      <c r="BA566" s="27"/>
      <c r="BB566" s="26"/>
      <c r="BC566" s="27"/>
      <c r="BD566" s="26"/>
      <c r="BE566" s="27"/>
      <c r="BF566" s="26"/>
      <c r="BH566" s="26"/>
      <c r="BI566" s="26"/>
      <c r="BJ566" s="26"/>
      <c r="BK566" s="26"/>
    </row>
    <row r="567" spans="3:63" x14ac:dyDescent="0.2">
      <c r="C567" s="26"/>
      <c r="D567" s="26"/>
      <c r="E567" s="26"/>
      <c r="F567" s="26"/>
      <c r="AV567" s="27"/>
      <c r="AW567" s="27"/>
      <c r="AX567" s="27"/>
      <c r="AY567" s="27"/>
      <c r="AZ567" s="27"/>
      <c r="BA567" s="27"/>
      <c r="BB567" s="26"/>
      <c r="BC567" s="27"/>
      <c r="BD567" s="26"/>
      <c r="BE567" s="27"/>
      <c r="BF567" s="26"/>
      <c r="BH567" s="26"/>
      <c r="BI567" s="26"/>
      <c r="BJ567" s="26"/>
      <c r="BK567" s="26"/>
    </row>
    <row r="568" spans="3:63" x14ac:dyDescent="0.2">
      <c r="C568" s="26"/>
      <c r="D568" s="26"/>
      <c r="E568" s="26"/>
      <c r="F568" s="26"/>
      <c r="AV568" s="27"/>
      <c r="AW568" s="27"/>
      <c r="AX568" s="27"/>
      <c r="AY568" s="27"/>
      <c r="AZ568" s="27"/>
      <c r="BA568" s="27"/>
      <c r="BB568" s="26"/>
      <c r="BC568" s="27"/>
      <c r="BD568" s="26"/>
      <c r="BE568" s="27"/>
      <c r="BF568" s="26"/>
      <c r="BH568" s="26"/>
      <c r="BI568" s="26"/>
      <c r="BJ568" s="26"/>
      <c r="BK568" s="26"/>
    </row>
    <row r="569" spans="3:63" x14ac:dyDescent="0.2">
      <c r="C569" s="26"/>
      <c r="D569" s="26"/>
      <c r="E569" s="26"/>
      <c r="F569" s="26"/>
      <c r="AV569" s="27"/>
      <c r="AW569" s="27"/>
      <c r="AX569" s="27"/>
      <c r="AY569" s="27"/>
      <c r="AZ569" s="27"/>
      <c r="BA569" s="27"/>
      <c r="BB569" s="26"/>
      <c r="BC569" s="27"/>
      <c r="BD569" s="26"/>
      <c r="BE569" s="27"/>
      <c r="BF569" s="26"/>
      <c r="BH569" s="26"/>
      <c r="BI569" s="26"/>
      <c r="BJ569" s="26"/>
      <c r="BK569" s="26"/>
    </row>
    <row r="570" spans="3:63" x14ac:dyDescent="0.2">
      <c r="C570" s="26"/>
      <c r="D570" s="26"/>
      <c r="E570" s="26"/>
      <c r="F570" s="26"/>
      <c r="AV570" s="27"/>
      <c r="AW570" s="27"/>
      <c r="AX570" s="27"/>
      <c r="AY570" s="27"/>
      <c r="AZ570" s="27"/>
      <c r="BA570" s="27"/>
      <c r="BB570" s="26"/>
      <c r="BC570" s="27"/>
      <c r="BD570" s="26"/>
      <c r="BE570" s="27"/>
      <c r="BF570" s="26"/>
      <c r="BH570" s="26"/>
      <c r="BI570" s="26"/>
      <c r="BJ570" s="26"/>
      <c r="BK570" s="26"/>
    </row>
    <row r="571" spans="3:63" x14ac:dyDescent="0.2">
      <c r="C571" s="26"/>
      <c r="D571" s="26"/>
      <c r="E571" s="26"/>
      <c r="F571" s="26"/>
      <c r="AV571" s="27"/>
      <c r="AW571" s="27"/>
      <c r="AX571" s="27"/>
      <c r="AY571" s="27"/>
      <c r="AZ571" s="27"/>
      <c r="BA571" s="27"/>
      <c r="BB571" s="26"/>
      <c r="BC571" s="27"/>
      <c r="BD571" s="26"/>
      <c r="BE571" s="27"/>
      <c r="BF571" s="26"/>
      <c r="BH571" s="26"/>
      <c r="BI571" s="26"/>
      <c r="BJ571" s="26"/>
      <c r="BK571" s="26"/>
    </row>
    <row r="572" spans="3:63" x14ac:dyDescent="0.2">
      <c r="C572" s="26"/>
      <c r="D572" s="26"/>
      <c r="E572" s="26"/>
      <c r="F572" s="26"/>
      <c r="AV572" s="27"/>
      <c r="AW572" s="27"/>
      <c r="AX572" s="27"/>
      <c r="AY572" s="27"/>
      <c r="AZ572" s="27"/>
      <c r="BA572" s="27"/>
      <c r="BB572" s="26"/>
      <c r="BC572" s="27"/>
      <c r="BD572" s="26"/>
      <c r="BE572" s="27"/>
      <c r="BF572" s="26"/>
      <c r="BH572" s="26"/>
      <c r="BI572" s="26"/>
      <c r="BJ572" s="26"/>
      <c r="BK572" s="26"/>
    </row>
    <row r="573" spans="3:63" x14ac:dyDescent="0.2">
      <c r="C573" s="26"/>
      <c r="D573" s="26"/>
      <c r="E573" s="26"/>
      <c r="F573" s="26"/>
      <c r="AV573" s="27"/>
      <c r="AW573" s="27"/>
      <c r="AX573" s="27"/>
      <c r="AY573" s="27"/>
      <c r="AZ573" s="27"/>
      <c r="BA573" s="27"/>
      <c r="BB573" s="26"/>
      <c r="BC573" s="27"/>
      <c r="BD573" s="26"/>
      <c r="BE573" s="27"/>
      <c r="BF573" s="26"/>
      <c r="BH573" s="26"/>
      <c r="BI573" s="26"/>
      <c r="BJ573" s="26"/>
      <c r="BK573" s="26"/>
    </row>
    <row r="574" spans="3:63" x14ac:dyDescent="0.2">
      <c r="C574" s="26"/>
      <c r="D574" s="26"/>
      <c r="E574" s="26"/>
      <c r="F574" s="26"/>
      <c r="AV574" s="27"/>
      <c r="AW574" s="27"/>
      <c r="AX574" s="27"/>
      <c r="AY574" s="27"/>
      <c r="AZ574" s="27"/>
      <c r="BA574" s="27"/>
      <c r="BB574" s="26"/>
      <c r="BC574" s="27"/>
      <c r="BD574" s="26"/>
      <c r="BE574" s="27"/>
      <c r="BF574" s="26"/>
      <c r="BH574" s="26"/>
      <c r="BI574" s="26"/>
      <c r="BJ574" s="26"/>
      <c r="BK574" s="26"/>
    </row>
    <row r="575" spans="3:63" x14ac:dyDescent="0.2">
      <c r="C575" s="26"/>
      <c r="D575" s="26"/>
      <c r="E575" s="26"/>
      <c r="F575" s="26"/>
      <c r="AV575" s="27"/>
      <c r="AW575" s="27"/>
      <c r="AX575" s="27"/>
      <c r="AY575" s="27"/>
      <c r="AZ575" s="27"/>
      <c r="BA575" s="27"/>
      <c r="BB575" s="26"/>
      <c r="BC575" s="27"/>
      <c r="BD575" s="26"/>
      <c r="BE575" s="27"/>
      <c r="BF575" s="26"/>
      <c r="BH575" s="26"/>
      <c r="BI575" s="26"/>
      <c r="BJ575" s="26"/>
      <c r="BK575" s="26"/>
    </row>
    <row r="576" spans="3:63" x14ac:dyDescent="0.2">
      <c r="C576" s="26"/>
      <c r="D576" s="26"/>
      <c r="E576" s="26"/>
      <c r="F576" s="26"/>
      <c r="AV576" s="27"/>
      <c r="AW576" s="27"/>
      <c r="AX576" s="27"/>
      <c r="AY576" s="27"/>
      <c r="AZ576" s="27"/>
      <c r="BA576" s="27"/>
      <c r="BB576" s="26"/>
      <c r="BC576" s="27"/>
      <c r="BD576" s="26"/>
      <c r="BE576" s="27"/>
      <c r="BF576" s="26"/>
      <c r="BH576" s="26"/>
      <c r="BI576" s="26"/>
      <c r="BJ576" s="26"/>
      <c r="BK576" s="26"/>
    </row>
    <row r="577" spans="3:63" x14ac:dyDescent="0.2">
      <c r="C577" s="26"/>
      <c r="D577" s="26"/>
      <c r="E577" s="26"/>
      <c r="F577" s="26"/>
      <c r="AV577" s="27"/>
      <c r="AW577" s="27"/>
      <c r="AX577" s="27"/>
      <c r="AY577" s="27"/>
      <c r="AZ577" s="27"/>
      <c r="BA577" s="27"/>
      <c r="BB577" s="26"/>
      <c r="BC577" s="27"/>
      <c r="BD577" s="26"/>
      <c r="BE577" s="27"/>
      <c r="BF577" s="26"/>
      <c r="BH577" s="26"/>
      <c r="BI577" s="26"/>
      <c r="BJ577" s="26"/>
      <c r="BK577" s="26"/>
    </row>
    <row r="578" spans="3:63" x14ac:dyDescent="0.2">
      <c r="C578" s="26"/>
      <c r="D578" s="26"/>
      <c r="E578" s="26"/>
      <c r="F578" s="26"/>
      <c r="AV578" s="27"/>
      <c r="AW578" s="27"/>
      <c r="AX578" s="27"/>
      <c r="AY578" s="27"/>
      <c r="AZ578" s="27"/>
      <c r="BA578" s="27"/>
      <c r="BB578" s="26"/>
      <c r="BC578" s="27"/>
      <c r="BD578" s="26"/>
      <c r="BE578" s="27"/>
      <c r="BF578" s="26"/>
      <c r="BH578" s="26"/>
      <c r="BI578" s="26"/>
      <c r="BJ578" s="26"/>
      <c r="BK578" s="26"/>
    </row>
    <row r="579" spans="3:63" x14ac:dyDescent="0.2">
      <c r="C579" s="26"/>
      <c r="D579" s="26"/>
      <c r="E579" s="26"/>
      <c r="F579" s="26"/>
      <c r="AV579" s="27"/>
      <c r="AW579" s="27"/>
      <c r="AX579" s="27"/>
      <c r="AY579" s="27"/>
      <c r="AZ579" s="27"/>
      <c r="BA579" s="27"/>
      <c r="BB579" s="26"/>
      <c r="BC579" s="27"/>
      <c r="BD579" s="26"/>
      <c r="BE579" s="27"/>
      <c r="BF579" s="26"/>
      <c r="BH579" s="26"/>
      <c r="BI579" s="26"/>
      <c r="BJ579" s="26"/>
      <c r="BK579" s="26"/>
    </row>
    <row r="580" spans="3:63" x14ac:dyDescent="0.2">
      <c r="C580" s="26"/>
      <c r="D580" s="26"/>
      <c r="E580" s="26"/>
      <c r="F580" s="26"/>
      <c r="AV580" s="27"/>
      <c r="AW580" s="27"/>
      <c r="AX580" s="27"/>
      <c r="AY580" s="27"/>
      <c r="AZ580" s="27"/>
      <c r="BA580" s="27"/>
      <c r="BB580" s="26"/>
      <c r="BC580" s="27"/>
      <c r="BD580" s="26"/>
      <c r="BE580" s="27"/>
      <c r="BF580" s="26"/>
      <c r="BH580" s="26"/>
      <c r="BI580" s="26"/>
      <c r="BJ580" s="26"/>
      <c r="BK580" s="26"/>
    </row>
    <row r="581" spans="3:63" x14ac:dyDescent="0.2">
      <c r="C581" s="26"/>
      <c r="D581" s="26"/>
      <c r="E581" s="26"/>
      <c r="F581" s="26"/>
      <c r="AV581" s="27"/>
      <c r="AW581" s="27"/>
      <c r="AX581" s="27"/>
      <c r="AY581" s="27"/>
      <c r="AZ581" s="27"/>
      <c r="BA581" s="27"/>
      <c r="BB581" s="26"/>
      <c r="BC581" s="27"/>
      <c r="BD581" s="26"/>
      <c r="BE581" s="27"/>
      <c r="BF581" s="26"/>
      <c r="BH581" s="26"/>
      <c r="BI581" s="26"/>
      <c r="BJ581" s="26"/>
      <c r="BK581" s="26"/>
    </row>
    <row r="582" spans="3:63" x14ac:dyDescent="0.2">
      <c r="C582" s="26"/>
      <c r="D582" s="26"/>
      <c r="E582" s="26"/>
      <c r="F582" s="26"/>
      <c r="AV582" s="27"/>
      <c r="AW582" s="27"/>
      <c r="AX582" s="27"/>
      <c r="AY582" s="27"/>
      <c r="AZ582" s="27"/>
      <c r="BA582" s="27"/>
      <c r="BB582" s="26"/>
      <c r="BC582" s="27"/>
      <c r="BD582" s="26"/>
      <c r="BE582" s="27"/>
      <c r="BF582" s="26"/>
      <c r="BH582" s="26"/>
      <c r="BI582" s="26"/>
      <c r="BJ582" s="26"/>
      <c r="BK582" s="26"/>
    </row>
    <row r="583" spans="3:63" x14ac:dyDescent="0.2">
      <c r="C583" s="26"/>
      <c r="D583" s="26"/>
      <c r="E583" s="26"/>
      <c r="F583" s="26"/>
      <c r="AV583" s="27"/>
      <c r="AW583" s="27"/>
      <c r="AX583" s="27"/>
      <c r="AY583" s="27"/>
      <c r="AZ583" s="27"/>
      <c r="BA583" s="27"/>
      <c r="BB583" s="26"/>
      <c r="BC583" s="27"/>
      <c r="BD583" s="26"/>
      <c r="BE583" s="27"/>
      <c r="BF583" s="26"/>
      <c r="BH583" s="26"/>
      <c r="BI583" s="26"/>
      <c r="BJ583" s="26"/>
      <c r="BK583" s="26"/>
    </row>
    <row r="584" spans="3:63" x14ac:dyDescent="0.2">
      <c r="C584" s="26"/>
      <c r="D584" s="26"/>
      <c r="E584" s="26"/>
      <c r="F584" s="26"/>
      <c r="AV584" s="27"/>
      <c r="AW584" s="27"/>
      <c r="AX584" s="27"/>
      <c r="AY584" s="27"/>
      <c r="AZ584" s="27"/>
      <c r="BA584" s="27"/>
      <c r="BB584" s="26"/>
      <c r="BC584" s="27"/>
      <c r="BD584" s="26"/>
      <c r="BE584" s="27"/>
      <c r="BF584" s="26"/>
      <c r="BH584" s="26"/>
      <c r="BI584" s="26"/>
      <c r="BJ584" s="26"/>
      <c r="BK584" s="26"/>
    </row>
    <row r="585" spans="3:63" x14ac:dyDescent="0.2">
      <c r="C585" s="26"/>
      <c r="D585" s="26"/>
      <c r="E585" s="26"/>
      <c r="F585" s="26"/>
      <c r="AV585" s="27"/>
      <c r="AW585" s="27"/>
      <c r="AX585" s="27"/>
      <c r="AY585" s="27"/>
      <c r="AZ585" s="27"/>
      <c r="BA585" s="27"/>
      <c r="BB585" s="26"/>
      <c r="BC585" s="27"/>
      <c r="BD585" s="26"/>
      <c r="BE585" s="27"/>
      <c r="BF585" s="26"/>
      <c r="BH585" s="26"/>
      <c r="BI585" s="26"/>
      <c r="BJ585" s="26"/>
      <c r="BK585" s="26"/>
    </row>
    <row r="586" spans="3:63" x14ac:dyDescent="0.2">
      <c r="C586" s="26"/>
      <c r="D586" s="26"/>
      <c r="E586" s="26"/>
      <c r="F586" s="26"/>
      <c r="AV586" s="27"/>
      <c r="AW586" s="27"/>
      <c r="AX586" s="27"/>
      <c r="AY586" s="27"/>
      <c r="AZ586" s="27"/>
      <c r="BA586" s="27"/>
      <c r="BB586" s="26"/>
      <c r="BC586" s="27"/>
      <c r="BD586" s="26"/>
      <c r="BE586" s="27"/>
      <c r="BF586" s="26"/>
      <c r="BH586" s="26"/>
      <c r="BI586" s="26"/>
      <c r="BJ586" s="26"/>
      <c r="BK586" s="26"/>
    </row>
    <row r="587" spans="3:63" x14ac:dyDescent="0.2">
      <c r="C587" s="26"/>
      <c r="D587" s="26"/>
      <c r="E587" s="26"/>
      <c r="F587" s="26"/>
      <c r="AV587" s="27"/>
      <c r="AW587" s="27"/>
      <c r="AX587" s="27"/>
      <c r="AY587" s="27"/>
      <c r="AZ587" s="27"/>
      <c r="BA587" s="27"/>
      <c r="BB587" s="26"/>
      <c r="BC587" s="27"/>
      <c r="BD587" s="26"/>
      <c r="BE587" s="27"/>
      <c r="BF587" s="26"/>
      <c r="BH587" s="26"/>
      <c r="BI587" s="26"/>
      <c r="BJ587" s="26"/>
      <c r="BK587" s="26"/>
    </row>
    <row r="588" spans="3:63" x14ac:dyDescent="0.2">
      <c r="C588" s="26"/>
      <c r="D588" s="26"/>
      <c r="E588" s="26"/>
      <c r="F588" s="26"/>
      <c r="AV588" s="27"/>
      <c r="AW588" s="27"/>
      <c r="AX588" s="27"/>
      <c r="AY588" s="27"/>
      <c r="AZ588" s="27"/>
      <c r="BA588" s="27"/>
      <c r="BB588" s="26"/>
      <c r="BC588" s="27"/>
      <c r="BD588" s="26"/>
      <c r="BE588" s="27"/>
      <c r="BF588" s="26"/>
      <c r="BH588" s="26"/>
      <c r="BI588" s="26"/>
      <c r="BJ588" s="26"/>
      <c r="BK588" s="26"/>
    </row>
    <row r="589" spans="3:63" x14ac:dyDescent="0.2">
      <c r="C589" s="26"/>
      <c r="D589" s="26"/>
      <c r="E589" s="26"/>
      <c r="F589" s="26"/>
      <c r="AV589" s="27"/>
      <c r="AW589" s="27"/>
      <c r="AX589" s="27"/>
      <c r="AY589" s="27"/>
      <c r="AZ589" s="27"/>
      <c r="BA589" s="27"/>
      <c r="BB589" s="26"/>
      <c r="BC589" s="27"/>
      <c r="BD589" s="26"/>
      <c r="BE589" s="27"/>
      <c r="BF589" s="26"/>
      <c r="BH589" s="26"/>
      <c r="BI589" s="26"/>
      <c r="BJ589" s="26"/>
      <c r="BK589" s="26"/>
    </row>
    <row r="590" spans="3:63" x14ac:dyDescent="0.2">
      <c r="C590" s="26"/>
      <c r="D590" s="26"/>
      <c r="E590" s="26"/>
      <c r="F590" s="26"/>
      <c r="AV590" s="27"/>
      <c r="AW590" s="27"/>
      <c r="AX590" s="27"/>
      <c r="AY590" s="27"/>
      <c r="AZ590" s="27"/>
      <c r="BA590" s="27"/>
      <c r="BB590" s="26"/>
      <c r="BC590" s="27"/>
      <c r="BD590" s="26"/>
      <c r="BE590" s="27"/>
      <c r="BF590" s="26"/>
      <c r="BH590" s="26"/>
      <c r="BI590" s="26"/>
      <c r="BJ590" s="26"/>
      <c r="BK590" s="26"/>
    </row>
    <row r="591" spans="3:63" x14ac:dyDescent="0.2">
      <c r="C591" s="26"/>
      <c r="D591" s="26"/>
      <c r="E591" s="26"/>
      <c r="F591" s="26"/>
      <c r="AV591" s="27"/>
      <c r="AW591" s="27"/>
      <c r="AX591" s="27"/>
      <c r="AY591" s="27"/>
      <c r="AZ591" s="27"/>
      <c r="BA591" s="27"/>
      <c r="BB591" s="26"/>
      <c r="BC591" s="27"/>
      <c r="BD591" s="26"/>
      <c r="BE591" s="27"/>
      <c r="BF591" s="26"/>
      <c r="BH591" s="26"/>
      <c r="BI591" s="26"/>
      <c r="BJ591" s="26"/>
      <c r="BK591" s="26"/>
    </row>
    <row r="592" spans="3:63" x14ac:dyDescent="0.2">
      <c r="C592" s="26"/>
      <c r="D592" s="26"/>
      <c r="E592" s="26"/>
      <c r="F592" s="26"/>
      <c r="AV592" s="27"/>
      <c r="AW592" s="27"/>
      <c r="AX592" s="27"/>
      <c r="AY592" s="27"/>
      <c r="AZ592" s="27"/>
      <c r="BA592" s="27"/>
      <c r="BB592" s="26"/>
      <c r="BC592" s="27"/>
      <c r="BD592" s="26"/>
      <c r="BE592" s="27"/>
      <c r="BF592" s="26"/>
      <c r="BH592" s="26"/>
      <c r="BI592" s="26"/>
      <c r="BJ592" s="26"/>
      <c r="BK592" s="26"/>
    </row>
    <row r="593" spans="3:63" x14ac:dyDescent="0.2">
      <c r="C593" s="26"/>
      <c r="D593" s="26"/>
      <c r="E593" s="26"/>
      <c r="F593" s="26"/>
      <c r="AV593" s="27"/>
      <c r="AW593" s="27"/>
      <c r="AX593" s="27"/>
      <c r="AY593" s="27"/>
      <c r="AZ593" s="27"/>
      <c r="BA593" s="27"/>
      <c r="BB593" s="26"/>
      <c r="BC593" s="27"/>
      <c r="BD593" s="26"/>
      <c r="BE593" s="27"/>
      <c r="BF593" s="26"/>
      <c r="BH593" s="26"/>
      <c r="BI593" s="26"/>
      <c r="BJ593" s="26"/>
      <c r="BK593" s="26"/>
    </row>
    <row r="594" spans="3:63" x14ac:dyDescent="0.2">
      <c r="C594" s="26"/>
      <c r="D594" s="26"/>
      <c r="E594" s="26"/>
      <c r="F594" s="26"/>
      <c r="AV594" s="27"/>
      <c r="AW594" s="27"/>
      <c r="AX594" s="27"/>
      <c r="AY594" s="27"/>
      <c r="AZ594" s="27"/>
      <c r="BA594" s="27"/>
      <c r="BB594" s="26"/>
      <c r="BC594" s="27"/>
      <c r="BD594" s="26"/>
      <c r="BE594" s="27"/>
      <c r="BF594" s="26"/>
      <c r="BH594" s="26"/>
      <c r="BI594" s="26"/>
      <c r="BJ594" s="26"/>
      <c r="BK594" s="26"/>
    </row>
    <row r="595" spans="3:63" x14ac:dyDescent="0.2">
      <c r="C595" s="26"/>
      <c r="D595" s="26"/>
      <c r="E595" s="26"/>
      <c r="F595" s="26"/>
      <c r="AV595" s="27"/>
      <c r="AW595" s="27"/>
      <c r="AX595" s="27"/>
      <c r="AY595" s="27"/>
      <c r="AZ595" s="27"/>
      <c r="BA595" s="27"/>
      <c r="BB595" s="26"/>
      <c r="BC595" s="27"/>
      <c r="BD595" s="26"/>
      <c r="BE595" s="27"/>
      <c r="BF595" s="26"/>
      <c r="BH595" s="26"/>
      <c r="BI595" s="26"/>
      <c r="BJ595" s="26"/>
      <c r="BK595" s="26"/>
    </row>
    <row r="596" spans="3:63" x14ac:dyDescent="0.2">
      <c r="C596" s="26"/>
      <c r="D596" s="26"/>
      <c r="E596" s="26"/>
      <c r="F596" s="26"/>
      <c r="AV596" s="27"/>
      <c r="AW596" s="27"/>
      <c r="AX596" s="27"/>
      <c r="AY596" s="27"/>
      <c r="AZ596" s="27"/>
      <c r="BA596" s="27"/>
      <c r="BB596" s="26"/>
      <c r="BC596" s="27"/>
      <c r="BD596" s="26"/>
      <c r="BE596" s="27"/>
      <c r="BF596" s="26"/>
      <c r="BH596" s="26"/>
      <c r="BI596" s="26"/>
      <c r="BJ596" s="26"/>
      <c r="BK596" s="26"/>
    </row>
    <row r="597" spans="3:63" x14ac:dyDescent="0.2">
      <c r="C597" s="26"/>
      <c r="D597" s="26"/>
      <c r="E597" s="26"/>
      <c r="F597" s="26"/>
      <c r="AV597" s="27"/>
      <c r="AW597" s="27"/>
      <c r="AX597" s="27"/>
      <c r="AY597" s="27"/>
      <c r="AZ597" s="27"/>
      <c r="BA597" s="27"/>
      <c r="BB597" s="26"/>
      <c r="BC597" s="27"/>
      <c r="BD597" s="26"/>
      <c r="BE597" s="27"/>
      <c r="BF597" s="26"/>
      <c r="BH597" s="26"/>
      <c r="BI597" s="26"/>
      <c r="BJ597" s="26"/>
      <c r="BK597" s="26"/>
    </row>
    <row r="598" spans="3:63" x14ac:dyDescent="0.2">
      <c r="C598" s="26"/>
      <c r="D598" s="26"/>
      <c r="E598" s="26"/>
      <c r="F598" s="26"/>
      <c r="AV598" s="27"/>
      <c r="AW598" s="27"/>
      <c r="AX598" s="27"/>
      <c r="AY598" s="27"/>
      <c r="AZ598" s="27"/>
      <c r="BA598" s="27"/>
      <c r="BB598" s="26"/>
      <c r="BC598" s="27"/>
      <c r="BD598" s="26"/>
      <c r="BE598" s="27"/>
      <c r="BF598" s="26"/>
      <c r="BH598" s="26"/>
      <c r="BI598" s="26"/>
      <c r="BJ598" s="26"/>
      <c r="BK598" s="26"/>
    </row>
    <row r="599" spans="3:63" x14ac:dyDescent="0.2">
      <c r="C599" s="26"/>
      <c r="D599" s="26"/>
      <c r="E599" s="26"/>
      <c r="F599" s="26"/>
      <c r="AV599" s="27"/>
      <c r="AW599" s="27"/>
      <c r="AX599" s="27"/>
      <c r="AY599" s="27"/>
      <c r="AZ599" s="27"/>
      <c r="BA599" s="27"/>
      <c r="BB599" s="26"/>
      <c r="BC599" s="27"/>
      <c r="BD599" s="26"/>
      <c r="BE599" s="27"/>
      <c r="BF599" s="26"/>
      <c r="BH599" s="26"/>
      <c r="BI599" s="26"/>
      <c r="BJ599" s="26"/>
      <c r="BK599" s="26"/>
    </row>
    <row r="600" spans="3:63" x14ac:dyDescent="0.2">
      <c r="C600" s="26"/>
      <c r="D600" s="26"/>
      <c r="E600" s="26"/>
      <c r="F600" s="26"/>
      <c r="AV600" s="27"/>
      <c r="AW600" s="27"/>
      <c r="AX600" s="27"/>
      <c r="AY600" s="27"/>
      <c r="AZ600" s="27"/>
      <c r="BA600" s="27"/>
      <c r="BB600" s="26"/>
      <c r="BC600" s="27"/>
      <c r="BD600" s="26"/>
      <c r="BE600" s="27"/>
      <c r="BF600" s="26"/>
      <c r="BH600" s="26"/>
      <c r="BI600" s="26"/>
      <c r="BJ600" s="26"/>
      <c r="BK600" s="26"/>
    </row>
    <row r="601" spans="3:63" x14ac:dyDescent="0.2">
      <c r="C601" s="26"/>
      <c r="D601" s="26"/>
      <c r="E601" s="26"/>
      <c r="F601" s="26"/>
      <c r="AV601" s="27"/>
      <c r="AW601" s="27"/>
      <c r="AX601" s="27"/>
      <c r="AY601" s="27"/>
      <c r="AZ601" s="27"/>
      <c r="BA601" s="27"/>
      <c r="BB601" s="26"/>
      <c r="BC601" s="27"/>
      <c r="BD601" s="26"/>
      <c r="BE601" s="27"/>
      <c r="BF601" s="26"/>
      <c r="BH601" s="26"/>
      <c r="BI601" s="26"/>
      <c r="BJ601" s="26"/>
      <c r="BK601" s="26"/>
    </row>
    <row r="602" spans="3:63" x14ac:dyDescent="0.2">
      <c r="C602" s="26"/>
      <c r="D602" s="26"/>
      <c r="E602" s="26"/>
      <c r="F602" s="26"/>
      <c r="AV602" s="27"/>
      <c r="AW602" s="27"/>
      <c r="AX602" s="27"/>
      <c r="AY602" s="27"/>
      <c r="AZ602" s="27"/>
      <c r="BA602" s="27"/>
      <c r="BB602" s="26"/>
      <c r="BC602" s="27"/>
      <c r="BD602" s="26"/>
      <c r="BE602" s="27"/>
      <c r="BF602" s="26"/>
      <c r="BH602" s="26"/>
      <c r="BI602" s="26"/>
      <c r="BJ602" s="26"/>
      <c r="BK602" s="26"/>
    </row>
    <row r="603" spans="3:63" x14ac:dyDescent="0.2">
      <c r="C603" s="26"/>
      <c r="D603" s="26"/>
      <c r="E603" s="26"/>
      <c r="F603" s="26"/>
      <c r="AV603" s="27"/>
      <c r="AW603" s="27"/>
      <c r="AX603" s="27"/>
      <c r="AY603" s="27"/>
      <c r="AZ603" s="27"/>
      <c r="BA603" s="27"/>
      <c r="BB603" s="26"/>
      <c r="BC603" s="27"/>
      <c r="BD603" s="26"/>
      <c r="BE603" s="27"/>
      <c r="BF603" s="26"/>
      <c r="BH603" s="26"/>
      <c r="BI603" s="26"/>
      <c r="BJ603" s="26"/>
      <c r="BK603" s="26"/>
    </row>
    <row r="604" spans="3:63" x14ac:dyDescent="0.2">
      <c r="C604" s="26"/>
      <c r="D604" s="26"/>
      <c r="E604" s="26"/>
      <c r="F604" s="26"/>
      <c r="AV604" s="27"/>
      <c r="AW604" s="27"/>
      <c r="AX604" s="27"/>
      <c r="AY604" s="27"/>
      <c r="AZ604" s="27"/>
      <c r="BA604" s="27"/>
      <c r="BB604" s="26"/>
      <c r="BC604" s="27"/>
      <c r="BD604" s="26"/>
      <c r="BE604" s="27"/>
      <c r="BF604" s="26"/>
      <c r="BH604" s="26"/>
      <c r="BI604" s="26"/>
      <c r="BJ604" s="26"/>
      <c r="BK604" s="26"/>
    </row>
    <row r="605" spans="3:63" x14ac:dyDescent="0.2">
      <c r="C605" s="26"/>
      <c r="D605" s="26"/>
      <c r="E605" s="26"/>
      <c r="F605" s="26"/>
      <c r="AV605" s="27"/>
      <c r="AW605" s="27"/>
      <c r="AX605" s="27"/>
      <c r="AY605" s="27"/>
      <c r="AZ605" s="27"/>
      <c r="BA605" s="27"/>
      <c r="BB605" s="26"/>
      <c r="BC605" s="27"/>
      <c r="BD605" s="26"/>
      <c r="BE605" s="27"/>
      <c r="BF605" s="26"/>
      <c r="BH605" s="26"/>
      <c r="BI605" s="26"/>
      <c r="BJ605" s="26"/>
      <c r="BK605" s="26"/>
    </row>
    <row r="606" spans="3:63" x14ac:dyDescent="0.2">
      <c r="C606" s="26"/>
      <c r="D606" s="26"/>
      <c r="E606" s="26"/>
      <c r="F606" s="26"/>
      <c r="AV606" s="27"/>
      <c r="AW606" s="27"/>
      <c r="AX606" s="27"/>
      <c r="AY606" s="27"/>
      <c r="AZ606" s="27"/>
      <c r="BA606" s="27"/>
      <c r="BB606" s="26"/>
      <c r="BC606" s="27"/>
      <c r="BD606" s="26"/>
      <c r="BE606" s="27"/>
      <c r="BF606" s="26"/>
      <c r="BH606" s="26"/>
      <c r="BI606" s="26"/>
      <c r="BJ606" s="26"/>
      <c r="BK606" s="26"/>
    </row>
    <row r="607" spans="3:63" x14ac:dyDescent="0.2">
      <c r="C607" s="26"/>
      <c r="D607" s="26"/>
      <c r="E607" s="26"/>
      <c r="F607" s="26"/>
      <c r="AV607" s="27"/>
      <c r="AW607" s="27"/>
      <c r="AX607" s="27"/>
      <c r="AY607" s="27"/>
      <c r="AZ607" s="27"/>
      <c r="BA607" s="27"/>
      <c r="BB607" s="26"/>
      <c r="BC607" s="27"/>
      <c r="BD607" s="26"/>
      <c r="BE607" s="27"/>
      <c r="BF607" s="26"/>
      <c r="BH607" s="26"/>
      <c r="BI607" s="26"/>
      <c r="BJ607" s="26"/>
      <c r="BK607" s="26"/>
    </row>
    <row r="608" spans="3:63" x14ac:dyDescent="0.2">
      <c r="C608" s="26"/>
      <c r="D608" s="26"/>
      <c r="E608" s="26"/>
      <c r="F608" s="26"/>
      <c r="AV608" s="27"/>
      <c r="AW608" s="27"/>
      <c r="AX608" s="27"/>
      <c r="AY608" s="27"/>
      <c r="AZ608" s="27"/>
      <c r="BA608" s="27"/>
      <c r="BB608" s="26"/>
      <c r="BC608" s="27"/>
      <c r="BD608" s="26"/>
      <c r="BE608" s="27"/>
      <c r="BF608" s="26"/>
      <c r="BH608" s="26"/>
      <c r="BI608" s="26"/>
      <c r="BJ608" s="26"/>
      <c r="BK608" s="26"/>
    </row>
    <row r="609" spans="3:63" x14ac:dyDescent="0.2">
      <c r="C609" s="26"/>
      <c r="D609" s="26"/>
      <c r="E609" s="26"/>
      <c r="F609" s="26"/>
      <c r="AV609" s="27"/>
      <c r="AW609" s="27"/>
      <c r="AX609" s="27"/>
      <c r="AY609" s="27"/>
      <c r="AZ609" s="27"/>
      <c r="BA609" s="27"/>
      <c r="BB609" s="26"/>
      <c r="BC609" s="27"/>
      <c r="BD609" s="26"/>
      <c r="BE609" s="27"/>
      <c r="BF609" s="26"/>
      <c r="BH609" s="26"/>
      <c r="BI609" s="26"/>
      <c r="BJ609" s="26"/>
      <c r="BK609" s="26"/>
    </row>
    <row r="610" spans="3:63" x14ac:dyDescent="0.2">
      <c r="C610" s="26"/>
      <c r="D610" s="26"/>
      <c r="E610" s="26"/>
      <c r="F610" s="26"/>
      <c r="AV610" s="27"/>
      <c r="AW610" s="27"/>
      <c r="AX610" s="27"/>
      <c r="AY610" s="27"/>
      <c r="AZ610" s="27"/>
      <c r="BA610" s="27"/>
      <c r="BB610" s="26"/>
      <c r="BC610" s="27"/>
      <c r="BD610" s="26"/>
      <c r="BE610" s="27"/>
      <c r="BF610" s="26"/>
      <c r="BH610" s="26"/>
      <c r="BI610" s="26"/>
      <c r="BJ610" s="26"/>
      <c r="BK610" s="26"/>
    </row>
    <row r="611" spans="3:63" x14ac:dyDescent="0.2">
      <c r="C611" s="26"/>
      <c r="D611" s="26"/>
      <c r="E611" s="26"/>
      <c r="F611" s="26"/>
      <c r="AV611" s="27"/>
      <c r="AW611" s="27"/>
      <c r="AX611" s="27"/>
      <c r="AY611" s="27"/>
      <c r="AZ611" s="27"/>
      <c r="BA611" s="27"/>
      <c r="BB611" s="26"/>
      <c r="BC611" s="27"/>
      <c r="BD611" s="26"/>
      <c r="BE611" s="27"/>
      <c r="BF611" s="26"/>
      <c r="BH611" s="26"/>
      <c r="BI611" s="26"/>
      <c r="BJ611" s="26"/>
      <c r="BK611" s="26"/>
    </row>
    <row r="612" spans="3:63" x14ac:dyDescent="0.2">
      <c r="C612" s="26"/>
      <c r="D612" s="26"/>
      <c r="E612" s="26"/>
      <c r="F612" s="26"/>
      <c r="AV612" s="27"/>
      <c r="AW612" s="27"/>
      <c r="AX612" s="27"/>
      <c r="AY612" s="27"/>
      <c r="AZ612" s="27"/>
      <c r="BA612" s="27"/>
      <c r="BB612" s="26"/>
      <c r="BC612" s="27"/>
      <c r="BD612" s="26"/>
      <c r="BE612" s="27"/>
      <c r="BF612" s="26"/>
      <c r="BH612" s="26"/>
      <c r="BI612" s="26"/>
      <c r="BJ612" s="26"/>
      <c r="BK612" s="26"/>
    </row>
    <row r="613" spans="3:63" x14ac:dyDescent="0.2">
      <c r="C613" s="26"/>
      <c r="D613" s="26"/>
      <c r="E613" s="26"/>
      <c r="F613" s="26"/>
      <c r="AV613" s="27"/>
      <c r="AW613" s="27"/>
      <c r="AX613" s="27"/>
      <c r="AY613" s="27"/>
      <c r="AZ613" s="27"/>
      <c r="BA613" s="27"/>
      <c r="BB613" s="26"/>
      <c r="BC613" s="27"/>
      <c r="BD613" s="26"/>
      <c r="BE613" s="27"/>
      <c r="BF613" s="26"/>
      <c r="BH613" s="26"/>
      <c r="BI613" s="26"/>
      <c r="BJ613" s="26"/>
      <c r="BK613" s="26"/>
    </row>
    <row r="614" spans="3:63" x14ac:dyDescent="0.2">
      <c r="C614" s="26"/>
      <c r="D614" s="26"/>
      <c r="E614" s="26"/>
      <c r="F614" s="26"/>
      <c r="AV614" s="27"/>
      <c r="AW614" s="27"/>
      <c r="AX614" s="27"/>
      <c r="AY614" s="27"/>
      <c r="AZ614" s="27"/>
      <c r="BA614" s="27"/>
      <c r="BB614" s="26"/>
      <c r="BC614" s="27"/>
      <c r="BD614" s="26"/>
      <c r="BE614" s="27"/>
      <c r="BF614" s="26"/>
      <c r="BH614" s="26"/>
      <c r="BI614" s="26"/>
      <c r="BJ614" s="26"/>
      <c r="BK614" s="26"/>
    </row>
    <row r="615" spans="3:63" x14ac:dyDescent="0.2">
      <c r="C615" s="26"/>
      <c r="D615" s="26"/>
      <c r="E615" s="26"/>
      <c r="F615" s="26"/>
      <c r="AV615" s="27"/>
      <c r="AW615" s="27"/>
      <c r="AX615" s="27"/>
      <c r="AY615" s="27"/>
      <c r="AZ615" s="27"/>
      <c r="BA615" s="27"/>
      <c r="BB615" s="26"/>
      <c r="BC615" s="27"/>
      <c r="BD615" s="26"/>
      <c r="BE615" s="27"/>
      <c r="BF615" s="26"/>
      <c r="BH615" s="26"/>
      <c r="BI615" s="26"/>
      <c r="BJ615" s="26"/>
      <c r="BK615" s="26"/>
    </row>
    <row r="616" spans="3:63" x14ac:dyDescent="0.2">
      <c r="C616" s="26"/>
      <c r="D616" s="26"/>
      <c r="E616" s="26"/>
      <c r="F616" s="26"/>
      <c r="AV616" s="27"/>
      <c r="AW616" s="27"/>
      <c r="AX616" s="27"/>
      <c r="AY616" s="27"/>
      <c r="AZ616" s="27"/>
      <c r="BA616" s="27"/>
      <c r="BB616" s="26"/>
      <c r="BC616" s="27"/>
      <c r="BD616" s="26"/>
      <c r="BE616" s="27"/>
      <c r="BF616" s="26"/>
      <c r="BH616" s="26"/>
      <c r="BI616" s="26"/>
      <c r="BJ616" s="26"/>
      <c r="BK616" s="26"/>
    </row>
    <row r="617" spans="3:63" x14ac:dyDescent="0.2">
      <c r="C617" s="26"/>
      <c r="D617" s="26"/>
      <c r="E617" s="26"/>
      <c r="F617" s="26"/>
      <c r="AV617" s="27"/>
      <c r="AW617" s="27"/>
      <c r="AX617" s="27"/>
      <c r="AY617" s="27"/>
      <c r="AZ617" s="27"/>
      <c r="BA617" s="27"/>
      <c r="BB617" s="26"/>
      <c r="BC617" s="27"/>
      <c r="BD617" s="26"/>
      <c r="BE617" s="27"/>
      <c r="BF617" s="26"/>
      <c r="BH617" s="26"/>
      <c r="BI617" s="26"/>
      <c r="BJ617" s="26"/>
      <c r="BK617" s="26"/>
    </row>
    <row r="618" spans="3:63" x14ac:dyDescent="0.2">
      <c r="C618" s="26"/>
      <c r="D618" s="26"/>
      <c r="E618" s="26"/>
      <c r="F618" s="26"/>
      <c r="AV618" s="27"/>
      <c r="AW618" s="27"/>
      <c r="AX618" s="27"/>
      <c r="AY618" s="27"/>
      <c r="AZ618" s="27"/>
      <c r="BA618" s="27"/>
      <c r="BB618" s="26"/>
      <c r="BC618" s="27"/>
      <c r="BD618" s="26"/>
      <c r="BE618" s="27"/>
      <c r="BF618" s="26"/>
      <c r="BH618" s="26"/>
      <c r="BI618" s="26"/>
      <c r="BJ618" s="26"/>
      <c r="BK618" s="26"/>
    </row>
    <row r="619" spans="3:63" x14ac:dyDescent="0.2">
      <c r="C619" s="26"/>
      <c r="D619" s="26"/>
      <c r="E619" s="26"/>
      <c r="F619" s="26"/>
      <c r="AV619" s="27"/>
      <c r="AW619" s="27"/>
      <c r="AX619" s="27"/>
      <c r="AY619" s="27"/>
      <c r="AZ619" s="27"/>
      <c r="BA619" s="27"/>
      <c r="BB619" s="26"/>
      <c r="BC619" s="27"/>
      <c r="BD619" s="26"/>
      <c r="BE619" s="27"/>
      <c r="BF619" s="26"/>
      <c r="BH619" s="26"/>
      <c r="BI619" s="26"/>
      <c r="BJ619" s="26"/>
      <c r="BK619" s="26"/>
    </row>
    <row r="620" spans="3:63" x14ac:dyDescent="0.2">
      <c r="C620" s="26"/>
      <c r="D620" s="26"/>
      <c r="E620" s="26"/>
      <c r="F620" s="26"/>
      <c r="AV620" s="27"/>
      <c r="AW620" s="27"/>
      <c r="AX620" s="27"/>
      <c r="AY620" s="27"/>
      <c r="AZ620" s="27"/>
      <c r="BA620" s="27"/>
      <c r="BB620" s="26"/>
      <c r="BC620" s="27"/>
      <c r="BD620" s="26"/>
      <c r="BE620" s="27"/>
      <c r="BF620" s="26"/>
      <c r="BH620" s="26"/>
      <c r="BI620" s="26"/>
      <c r="BJ620" s="26"/>
      <c r="BK620" s="26"/>
    </row>
    <row r="621" spans="3:63" x14ac:dyDescent="0.2">
      <c r="C621" s="26"/>
      <c r="D621" s="26"/>
      <c r="E621" s="26"/>
      <c r="F621" s="26"/>
      <c r="AV621" s="27"/>
      <c r="AW621" s="27"/>
      <c r="AX621" s="27"/>
      <c r="AY621" s="27"/>
      <c r="AZ621" s="27"/>
      <c r="BA621" s="27"/>
      <c r="BB621" s="26"/>
      <c r="BC621" s="27"/>
      <c r="BD621" s="26"/>
      <c r="BE621" s="27"/>
      <c r="BF621" s="26"/>
      <c r="BH621" s="26"/>
      <c r="BI621" s="26"/>
      <c r="BJ621" s="26"/>
      <c r="BK621" s="26"/>
    </row>
    <row r="622" spans="3:63" x14ac:dyDescent="0.2">
      <c r="C622" s="26"/>
      <c r="D622" s="26"/>
      <c r="E622" s="26"/>
      <c r="F622" s="26"/>
      <c r="AV622" s="27"/>
      <c r="AW622" s="27"/>
      <c r="AX622" s="27"/>
      <c r="AY622" s="27"/>
      <c r="AZ622" s="27"/>
      <c r="BA622" s="27"/>
      <c r="BB622" s="26"/>
      <c r="BC622" s="27"/>
      <c r="BD622" s="26"/>
      <c r="BE622" s="27"/>
      <c r="BF622" s="26"/>
      <c r="BH622" s="26"/>
      <c r="BI622" s="26"/>
      <c r="BJ622" s="26"/>
      <c r="BK622" s="26"/>
    </row>
    <row r="623" spans="3:63" x14ac:dyDescent="0.2">
      <c r="C623" s="26"/>
      <c r="D623" s="26"/>
      <c r="E623" s="26"/>
      <c r="F623" s="26"/>
      <c r="AV623" s="27"/>
      <c r="AW623" s="27"/>
      <c r="AX623" s="27"/>
      <c r="AY623" s="27"/>
      <c r="AZ623" s="27"/>
      <c r="BA623" s="27"/>
      <c r="BB623" s="26"/>
      <c r="BC623" s="27"/>
      <c r="BD623" s="26"/>
      <c r="BE623" s="27"/>
      <c r="BF623" s="26"/>
      <c r="BH623" s="26"/>
      <c r="BI623" s="26"/>
      <c r="BJ623" s="26"/>
      <c r="BK623" s="26"/>
    </row>
    <row r="624" spans="3:63" x14ac:dyDescent="0.2">
      <c r="C624" s="26"/>
      <c r="D624" s="26"/>
      <c r="E624" s="26"/>
      <c r="F624" s="26"/>
      <c r="AV624" s="27"/>
      <c r="AW624" s="27"/>
      <c r="AX624" s="27"/>
      <c r="AY624" s="27"/>
      <c r="AZ624" s="27"/>
      <c r="BA624" s="27"/>
      <c r="BB624" s="26"/>
      <c r="BC624" s="27"/>
      <c r="BD624" s="26"/>
      <c r="BE624" s="27"/>
      <c r="BF624" s="26"/>
      <c r="BH624" s="26"/>
      <c r="BI624" s="26"/>
      <c r="BJ624" s="26"/>
      <c r="BK624" s="26"/>
    </row>
    <row r="625" spans="3:63" x14ac:dyDescent="0.2">
      <c r="C625" s="26"/>
      <c r="D625" s="26"/>
      <c r="E625" s="26"/>
      <c r="F625" s="26"/>
      <c r="AV625" s="27"/>
      <c r="AW625" s="27"/>
      <c r="AX625" s="27"/>
      <c r="AY625" s="27"/>
      <c r="AZ625" s="27"/>
      <c r="BA625" s="27"/>
      <c r="BB625" s="26"/>
      <c r="BC625" s="27"/>
      <c r="BD625" s="26"/>
      <c r="BE625" s="27"/>
      <c r="BF625" s="26"/>
      <c r="BH625" s="26"/>
      <c r="BI625" s="26"/>
      <c r="BJ625" s="26"/>
      <c r="BK625" s="26"/>
    </row>
    <row r="626" spans="3:63" x14ac:dyDescent="0.2">
      <c r="C626" s="26"/>
      <c r="D626" s="26"/>
      <c r="E626" s="26"/>
      <c r="F626" s="26"/>
      <c r="AV626" s="27"/>
      <c r="AW626" s="27"/>
      <c r="AX626" s="27"/>
      <c r="AY626" s="27"/>
      <c r="AZ626" s="27"/>
      <c r="BA626" s="27"/>
      <c r="BB626" s="26"/>
      <c r="BC626" s="27"/>
      <c r="BD626" s="26"/>
      <c r="BE626" s="27"/>
      <c r="BF626" s="26"/>
      <c r="BH626" s="26"/>
      <c r="BI626" s="26"/>
      <c r="BJ626" s="26"/>
      <c r="BK626" s="26"/>
    </row>
    <row r="627" spans="3:63" x14ac:dyDescent="0.2">
      <c r="C627" s="26"/>
      <c r="D627" s="26"/>
      <c r="E627" s="26"/>
      <c r="F627" s="26"/>
      <c r="AV627" s="27"/>
      <c r="AW627" s="27"/>
      <c r="AX627" s="27"/>
      <c r="AY627" s="27"/>
      <c r="AZ627" s="27"/>
      <c r="BA627" s="27"/>
      <c r="BB627" s="26"/>
      <c r="BC627" s="27"/>
      <c r="BD627" s="26"/>
      <c r="BE627" s="27"/>
      <c r="BF627" s="26"/>
      <c r="BH627" s="26"/>
      <c r="BI627" s="26"/>
      <c r="BJ627" s="26"/>
      <c r="BK627" s="26"/>
    </row>
    <row r="628" spans="3:63" x14ac:dyDescent="0.2">
      <c r="C628" s="26"/>
      <c r="D628" s="26"/>
      <c r="E628" s="26"/>
      <c r="F628" s="26"/>
      <c r="AV628" s="27"/>
      <c r="AW628" s="27"/>
      <c r="AX628" s="27"/>
      <c r="AY628" s="27"/>
      <c r="AZ628" s="27"/>
      <c r="BA628" s="27"/>
      <c r="BB628" s="26"/>
      <c r="BC628" s="27"/>
      <c r="BD628" s="26"/>
      <c r="BE628" s="27"/>
      <c r="BF628" s="26"/>
      <c r="BH628" s="26"/>
      <c r="BI628" s="26"/>
      <c r="BJ628" s="26"/>
      <c r="BK628" s="26"/>
    </row>
    <row r="629" spans="3:63" x14ac:dyDescent="0.2">
      <c r="C629" s="26"/>
      <c r="D629" s="26"/>
      <c r="E629" s="26"/>
      <c r="F629" s="26"/>
      <c r="AV629" s="27"/>
      <c r="AW629" s="27"/>
      <c r="AX629" s="27"/>
      <c r="AY629" s="27"/>
      <c r="AZ629" s="27"/>
      <c r="BA629" s="27"/>
      <c r="BB629" s="26"/>
      <c r="BC629" s="27"/>
      <c r="BD629" s="26"/>
      <c r="BE629" s="27"/>
      <c r="BF629" s="26"/>
      <c r="BH629" s="26"/>
      <c r="BI629" s="26"/>
      <c r="BJ629" s="26"/>
      <c r="BK629" s="26"/>
    </row>
    <row r="630" spans="3:63" x14ac:dyDescent="0.2">
      <c r="C630" s="26"/>
      <c r="D630" s="26"/>
      <c r="E630" s="26"/>
      <c r="F630" s="26"/>
      <c r="AV630" s="27"/>
      <c r="AW630" s="27"/>
      <c r="AX630" s="27"/>
      <c r="AY630" s="27"/>
      <c r="AZ630" s="27"/>
      <c r="BA630" s="27"/>
      <c r="BB630" s="26"/>
      <c r="BC630" s="27"/>
      <c r="BD630" s="26"/>
      <c r="BE630" s="27"/>
      <c r="BF630" s="26"/>
      <c r="BH630" s="26"/>
      <c r="BI630" s="26"/>
      <c r="BJ630" s="26"/>
      <c r="BK630" s="26"/>
    </row>
    <row r="631" spans="3:63" x14ac:dyDescent="0.2">
      <c r="C631" s="26"/>
      <c r="D631" s="26"/>
      <c r="E631" s="26"/>
      <c r="F631" s="26"/>
      <c r="AV631" s="27"/>
      <c r="AW631" s="27"/>
      <c r="AX631" s="27"/>
      <c r="AY631" s="27"/>
      <c r="AZ631" s="27"/>
      <c r="BA631" s="27"/>
      <c r="BB631" s="26"/>
      <c r="BC631" s="27"/>
      <c r="BD631" s="26"/>
      <c r="BE631" s="27"/>
      <c r="BF631" s="26"/>
      <c r="BH631" s="26"/>
      <c r="BI631" s="26"/>
      <c r="BJ631" s="26"/>
      <c r="BK631" s="26"/>
    </row>
    <row r="632" spans="3:63" x14ac:dyDescent="0.2">
      <c r="C632" s="26"/>
      <c r="D632" s="26"/>
      <c r="E632" s="26"/>
      <c r="F632" s="26"/>
      <c r="AV632" s="27"/>
      <c r="AW632" s="27"/>
      <c r="AX632" s="27"/>
      <c r="AY632" s="27"/>
      <c r="AZ632" s="27"/>
      <c r="BA632" s="27"/>
      <c r="BB632" s="26"/>
      <c r="BC632" s="27"/>
      <c r="BD632" s="26"/>
      <c r="BE632" s="27"/>
      <c r="BF632" s="26"/>
      <c r="BH632" s="26"/>
      <c r="BI632" s="26"/>
      <c r="BJ632" s="26"/>
      <c r="BK632" s="26"/>
    </row>
    <row r="633" spans="3:63" x14ac:dyDescent="0.2">
      <c r="C633" s="26"/>
      <c r="D633" s="26"/>
      <c r="E633" s="26"/>
      <c r="F633" s="26"/>
      <c r="AV633" s="27"/>
      <c r="AW633" s="27"/>
      <c r="AX633" s="27"/>
      <c r="AY633" s="27"/>
      <c r="AZ633" s="27"/>
      <c r="BA633" s="27"/>
      <c r="BB633" s="26"/>
      <c r="BC633" s="27"/>
      <c r="BD633" s="26"/>
      <c r="BE633" s="27"/>
      <c r="BF633" s="26"/>
      <c r="BH633" s="26"/>
      <c r="BI633" s="26"/>
      <c r="BJ633" s="26"/>
      <c r="BK633" s="26"/>
    </row>
    <row r="634" spans="3:63" x14ac:dyDescent="0.2">
      <c r="C634" s="26"/>
      <c r="D634" s="26"/>
      <c r="E634" s="26"/>
      <c r="F634" s="26"/>
      <c r="AV634" s="27"/>
      <c r="AW634" s="27"/>
      <c r="AX634" s="27"/>
      <c r="AY634" s="27"/>
      <c r="AZ634" s="27"/>
      <c r="BA634" s="27"/>
      <c r="BB634" s="26"/>
      <c r="BC634" s="27"/>
      <c r="BD634" s="26"/>
      <c r="BE634" s="27"/>
      <c r="BF634" s="26"/>
      <c r="BH634" s="26"/>
      <c r="BI634" s="26"/>
      <c r="BJ634" s="26"/>
      <c r="BK634" s="26"/>
    </row>
    <row r="635" spans="3:63" x14ac:dyDescent="0.2">
      <c r="C635" s="26"/>
      <c r="D635" s="26"/>
      <c r="E635" s="26"/>
      <c r="F635" s="26"/>
      <c r="AV635" s="27"/>
      <c r="AW635" s="27"/>
      <c r="AX635" s="27"/>
      <c r="AY635" s="27"/>
      <c r="AZ635" s="27"/>
      <c r="BA635" s="27"/>
      <c r="BB635" s="26"/>
      <c r="BC635" s="27"/>
      <c r="BD635" s="26"/>
      <c r="BE635" s="27"/>
      <c r="BF635" s="26"/>
      <c r="BH635" s="26"/>
      <c r="BI635" s="26"/>
      <c r="BJ635" s="26"/>
      <c r="BK635" s="26"/>
    </row>
    <row r="636" spans="3:63" x14ac:dyDescent="0.2">
      <c r="C636" s="26"/>
      <c r="D636" s="26"/>
      <c r="E636" s="26"/>
      <c r="F636" s="26"/>
      <c r="AV636" s="27"/>
      <c r="AW636" s="27"/>
      <c r="AX636" s="27"/>
      <c r="AY636" s="27"/>
      <c r="AZ636" s="27"/>
      <c r="BA636" s="27"/>
      <c r="BB636" s="26"/>
      <c r="BC636" s="27"/>
      <c r="BD636" s="26"/>
      <c r="BE636" s="27"/>
      <c r="BF636" s="26"/>
      <c r="BH636" s="26"/>
      <c r="BI636" s="26"/>
      <c r="BJ636" s="26"/>
      <c r="BK636" s="26"/>
    </row>
    <row r="637" spans="3:63" x14ac:dyDescent="0.2">
      <c r="C637" s="26"/>
      <c r="D637" s="26"/>
      <c r="E637" s="26"/>
      <c r="F637" s="26"/>
      <c r="AV637" s="27"/>
      <c r="AW637" s="27"/>
      <c r="AX637" s="27"/>
      <c r="AY637" s="27"/>
      <c r="AZ637" s="27"/>
      <c r="BA637" s="27"/>
      <c r="BB637" s="26"/>
      <c r="BC637" s="27"/>
      <c r="BD637" s="26"/>
      <c r="BE637" s="27"/>
      <c r="BF637" s="26"/>
      <c r="BH637" s="26"/>
      <c r="BI637" s="26"/>
      <c r="BJ637" s="26"/>
      <c r="BK637" s="26"/>
    </row>
    <row r="638" spans="3:63" x14ac:dyDescent="0.2">
      <c r="C638" s="26"/>
      <c r="D638" s="26"/>
      <c r="E638" s="26"/>
      <c r="F638" s="26"/>
      <c r="AV638" s="27"/>
      <c r="AW638" s="27"/>
      <c r="AX638" s="27"/>
      <c r="AY638" s="27"/>
      <c r="AZ638" s="27"/>
      <c r="BA638" s="27"/>
      <c r="BB638" s="26"/>
      <c r="BC638" s="27"/>
      <c r="BD638" s="26"/>
      <c r="BE638" s="27"/>
      <c r="BF638" s="26"/>
      <c r="BH638" s="26"/>
      <c r="BI638" s="26"/>
      <c r="BJ638" s="26"/>
      <c r="BK638" s="26"/>
    </row>
    <row r="639" spans="3:63" x14ac:dyDescent="0.2">
      <c r="C639" s="26"/>
      <c r="D639" s="26"/>
      <c r="E639" s="26"/>
      <c r="F639" s="26"/>
      <c r="AV639" s="27"/>
      <c r="AW639" s="27"/>
      <c r="AX639" s="27"/>
      <c r="AY639" s="27"/>
      <c r="AZ639" s="27"/>
      <c r="BA639" s="27"/>
      <c r="BB639" s="26"/>
      <c r="BC639" s="27"/>
      <c r="BD639" s="26"/>
      <c r="BE639" s="27"/>
      <c r="BF639" s="26"/>
      <c r="BH639" s="26"/>
      <c r="BI639" s="26"/>
      <c r="BJ639" s="26"/>
      <c r="BK639" s="26"/>
    </row>
    <row r="640" spans="3:63" x14ac:dyDescent="0.2">
      <c r="C640" s="26"/>
      <c r="D640" s="26"/>
      <c r="E640" s="26"/>
      <c r="F640" s="26"/>
      <c r="AV640" s="27"/>
      <c r="AW640" s="27"/>
      <c r="AX640" s="27"/>
      <c r="AY640" s="27"/>
      <c r="AZ640" s="27"/>
      <c r="BA640" s="27"/>
      <c r="BB640" s="26"/>
      <c r="BC640" s="27"/>
      <c r="BD640" s="26"/>
      <c r="BE640" s="27"/>
      <c r="BF640" s="26"/>
      <c r="BH640" s="26"/>
      <c r="BI640" s="26"/>
      <c r="BJ640" s="26"/>
      <c r="BK640" s="26"/>
    </row>
    <row r="641" spans="3:63" x14ac:dyDescent="0.2">
      <c r="C641" s="26"/>
      <c r="D641" s="26"/>
      <c r="E641" s="26"/>
      <c r="F641" s="26"/>
      <c r="AV641" s="27"/>
      <c r="AW641" s="27"/>
      <c r="AX641" s="27"/>
      <c r="AY641" s="27"/>
      <c r="AZ641" s="27"/>
      <c r="BA641" s="27"/>
      <c r="BB641" s="26"/>
      <c r="BC641" s="27"/>
      <c r="BD641" s="26"/>
      <c r="BE641" s="27"/>
      <c r="BF641" s="26"/>
      <c r="BH641" s="26"/>
      <c r="BI641" s="26"/>
      <c r="BJ641" s="26"/>
      <c r="BK641" s="26"/>
    </row>
    <row r="642" spans="3:63" x14ac:dyDescent="0.2">
      <c r="C642" s="26"/>
      <c r="D642" s="26"/>
      <c r="E642" s="26"/>
      <c r="F642" s="26"/>
      <c r="AV642" s="27"/>
      <c r="AW642" s="27"/>
      <c r="AX642" s="27"/>
      <c r="AY642" s="27"/>
      <c r="AZ642" s="27"/>
      <c r="BA642" s="27"/>
      <c r="BB642" s="26"/>
      <c r="BC642" s="27"/>
      <c r="BD642" s="26"/>
      <c r="BE642" s="27"/>
      <c r="BF642" s="26"/>
      <c r="BH642" s="26"/>
      <c r="BI642" s="26"/>
      <c r="BJ642" s="26"/>
      <c r="BK642" s="26"/>
    </row>
    <row r="643" spans="3:63" x14ac:dyDescent="0.2">
      <c r="C643" s="26"/>
      <c r="D643" s="26"/>
      <c r="E643" s="26"/>
      <c r="F643" s="26"/>
      <c r="AV643" s="27"/>
      <c r="AW643" s="27"/>
      <c r="AX643" s="27"/>
      <c r="AY643" s="27"/>
      <c r="AZ643" s="27"/>
      <c r="BA643" s="27"/>
      <c r="BB643" s="26"/>
      <c r="BC643" s="27"/>
      <c r="BD643" s="26"/>
      <c r="BE643" s="27"/>
      <c r="BF643" s="26"/>
      <c r="BH643" s="26"/>
      <c r="BI643" s="26"/>
      <c r="BJ643" s="26"/>
      <c r="BK643" s="26"/>
    </row>
    <row r="644" spans="3:63" x14ac:dyDescent="0.2">
      <c r="C644" s="26"/>
      <c r="D644" s="26"/>
      <c r="E644" s="26"/>
      <c r="F644" s="26"/>
      <c r="AV644" s="27"/>
      <c r="AW644" s="27"/>
      <c r="AX644" s="27"/>
      <c r="AY644" s="27"/>
      <c r="AZ644" s="27"/>
      <c r="BA644" s="27"/>
      <c r="BB644" s="26"/>
      <c r="BC644" s="27"/>
      <c r="BD644" s="26"/>
      <c r="BE644" s="27"/>
      <c r="BF644" s="26"/>
      <c r="BH644" s="26"/>
      <c r="BI644" s="26"/>
      <c r="BJ644" s="26"/>
      <c r="BK644" s="26"/>
    </row>
    <row r="645" spans="3:63" x14ac:dyDescent="0.2">
      <c r="C645" s="26"/>
      <c r="D645" s="26"/>
      <c r="E645" s="26"/>
      <c r="F645" s="26"/>
      <c r="AV645" s="27"/>
      <c r="AW645" s="27"/>
      <c r="AX645" s="27"/>
      <c r="AY645" s="27"/>
      <c r="AZ645" s="27"/>
      <c r="BA645" s="27"/>
      <c r="BB645" s="26"/>
      <c r="BC645" s="27"/>
      <c r="BD645" s="26"/>
      <c r="BE645" s="27"/>
      <c r="BF645" s="26"/>
      <c r="BH645" s="26"/>
      <c r="BI645" s="26"/>
      <c r="BJ645" s="26"/>
      <c r="BK645" s="26"/>
    </row>
    <row r="646" spans="3:63" x14ac:dyDescent="0.2">
      <c r="C646" s="26"/>
      <c r="D646" s="26"/>
      <c r="E646" s="26"/>
      <c r="F646" s="26"/>
      <c r="AV646" s="27"/>
      <c r="AW646" s="27"/>
      <c r="AX646" s="27"/>
      <c r="AY646" s="27"/>
      <c r="AZ646" s="27"/>
      <c r="BA646" s="27"/>
      <c r="BB646" s="26"/>
      <c r="BC646" s="27"/>
      <c r="BD646" s="26"/>
      <c r="BE646" s="27"/>
      <c r="BF646" s="26"/>
      <c r="BH646" s="26"/>
      <c r="BI646" s="26"/>
      <c r="BJ646" s="26"/>
      <c r="BK646" s="26"/>
    </row>
    <row r="647" spans="3:63" x14ac:dyDescent="0.2">
      <c r="C647" s="26"/>
      <c r="D647" s="26"/>
      <c r="E647" s="26"/>
      <c r="F647" s="26"/>
      <c r="AV647" s="27"/>
      <c r="AW647" s="27"/>
      <c r="AX647" s="27"/>
      <c r="AY647" s="27"/>
      <c r="AZ647" s="27"/>
      <c r="BA647" s="27"/>
      <c r="BB647" s="26"/>
      <c r="BC647" s="27"/>
      <c r="BD647" s="26"/>
      <c r="BE647" s="27"/>
      <c r="BF647" s="26"/>
      <c r="BH647" s="26"/>
      <c r="BI647" s="26"/>
      <c r="BJ647" s="26"/>
      <c r="BK647" s="26"/>
    </row>
    <row r="648" spans="3:63" x14ac:dyDescent="0.2">
      <c r="C648" s="26"/>
      <c r="D648" s="26"/>
      <c r="E648" s="26"/>
      <c r="F648" s="26"/>
      <c r="AV648" s="27"/>
      <c r="AW648" s="27"/>
      <c r="AX648" s="27"/>
      <c r="AY648" s="27"/>
      <c r="AZ648" s="27"/>
      <c r="BA648" s="27"/>
      <c r="BB648" s="26"/>
      <c r="BC648" s="27"/>
      <c r="BD648" s="26"/>
      <c r="BE648" s="27"/>
      <c r="BF648" s="26"/>
      <c r="BH648" s="26"/>
      <c r="BI648" s="26"/>
      <c r="BJ648" s="26"/>
      <c r="BK648" s="26"/>
    </row>
    <row r="649" spans="3:63" x14ac:dyDescent="0.2">
      <c r="C649" s="26"/>
      <c r="D649" s="26"/>
      <c r="E649" s="26"/>
      <c r="F649" s="26"/>
      <c r="AV649" s="27"/>
      <c r="AW649" s="27"/>
      <c r="AX649" s="27"/>
      <c r="AY649" s="27"/>
      <c r="AZ649" s="27"/>
      <c r="BA649" s="27"/>
      <c r="BB649" s="26"/>
      <c r="BC649" s="27"/>
      <c r="BD649" s="26"/>
      <c r="BE649" s="27"/>
      <c r="BF649" s="26"/>
      <c r="BH649" s="26"/>
      <c r="BI649" s="26"/>
      <c r="BJ649" s="26"/>
      <c r="BK649" s="26"/>
    </row>
    <row r="650" spans="3:63" x14ac:dyDescent="0.2">
      <c r="C650" s="26"/>
      <c r="D650" s="26"/>
      <c r="E650" s="26"/>
      <c r="F650" s="26"/>
      <c r="AV650" s="27"/>
      <c r="AW650" s="27"/>
      <c r="AX650" s="27"/>
      <c r="AY650" s="27"/>
      <c r="AZ650" s="27"/>
      <c r="BA650" s="27"/>
      <c r="BB650" s="26"/>
      <c r="BC650" s="27"/>
      <c r="BD650" s="26"/>
      <c r="BE650" s="27"/>
      <c r="BF650" s="26"/>
      <c r="BH650" s="26"/>
      <c r="BI650" s="26"/>
      <c r="BJ650" s="26"/>
      <c r="BK650" s="26"/>
    </row>
    <row r="651" spans="3:63" x14ac:dyDescent="0.2">
      <c r="C651" s="26"/>
      <c r="D651" s="26"/>
      <c r="E651" s="26"/>
      <c r="F651" s="26"/>
      <c r="AV651" s="27"/>
      <c r="AW651" s="27"/>
      <c r="AX651" s="27"/>
      <c r="AY651" s="27"/>
      <c r="AZ651" s="27"/>
      <c r="BA651" s="27"/>
      <c r="BB651" s="26"/>
      <c r="BC651" s="27"/>
      <c r="BD651" s="26"/>
      <c r="BE651" s="27"/>
      <c r="BF651" s="26"/>
      <c r="BH651" s="26"/>
      <c r="BI651" s="26"/>
      <c r="BJ651" s="26"/>
      <c r="BK651" s="26"/>
    </row>
    <row r="652" spans="3:63" x14ac:dyDescent="0.2">
      <c r="C652" s="26"/>
      <c r="D652" s="26"/>
      <c r="E652" s="26"/>
      <c r="F652" s="26"/>
      <c r="AV652" s="27"/>
      <c r="AW652" s="27"/>
      <c r="AX652" s="27"/>
      <c r="AY652" s="27"/>
      <c r="AZ652" s="27"/>
      <c r="BA652" s="27"/>
      <c r="BB652" s="26"/>
      <c r="BC652" s="27"/>
      <c r="BD652" s="26"/>
      <c r="BE652" s="27"/>
      <c r="BF652" s="26"/>
      <c r="BH652" s="26"/>
      <c r="BI652" s="26"/>
      <c r="BJ652" s="26"/>
      <c r="BK652" s="26"/>
    </row>
    <row r="653" spans="3:63" x14ac:dyDescent="0.2">
      <c r="C653" s="26"/>
      <c r="D653" s="26"/>
      <c r="E653" s="26"/>
      <c r="F653" s="26"/>
      <c r="AV653" s="27"/>
      <c r="AW653" s="27"/>
      <c r="AX653" s="27"/>
      <c r="AY653" s="27"/>
      <c r="AZ653" s="27"/>
      <c r="BA653" s="27"/>
      <c r="BB653" s="26"/>
      <c r="BC653" s="27"/>
      <c r="BD653" s="26"/>
      <c r="BE653" s="27"/>
      <c r="BF653" s="26"/>
      <c r="BH653" s="26"/>
      <c r="BI653" s="26"/>
      <c r="BJ653" s="26"/>
      <c r="BK653" s="26"/>
    </row>
    <row r="654" spans="3:63" x14ac:dyDescent="0.2">
      <c r="C654" s="26"/>
      <c r="D654" s="26"/>
      <c r="E654" s="26"/>
      <c r="F654" s="26"/>
      <c r="AV654" s="27"/>
      <c r="AW654" s="27"/>
      <c r="AX654" s="27"/>
      <c r="AY654" s="27"/>
      <c r="AZ654" s="27"/>
      <c r="BA654" s="27"/>
      <c r="BB654" s="26"/>
      <c r="BC654" s="27"/>
      <c r="BD654" s="26"/>
      <c r="BE654" s="27"/>
      <c r="BF654" s="26"/>
      <c r="BH654" s="26"/>
      <c r="BI654" s="26"/>
      <c r="BJ654" s="26"/>
      <c r="BK654" s="26"/>
    </row>
    <row r="655" spans="3:63" x14ac:dyDescent="0.2">
      <c r="C655" s="26"/>
      <c r="D655" s="26"/>
      <c r="E655" s="26"/>
      <c r="F655" s="26"/>
      <c r="AV655" s="27"/>
      <c r="AW655" s="27"/>
      <c r="AX655" s="27"/>
      <c r="AY655" s="27"/>
      <c r="AZ655" s="27"/>
      <c r="BA655" s="27"/>
      <c r="BB655" s="26"/>
      <c r="BC655" s="27"/>
      <c r="BD655" s="26"/>
      <c r="BE655" s="27"/>
      <c r="BF655" s="26"/>
      <c r="BH655" s="26"/>
      <c r="BI655" s="26"/>
      <c r="BJ655" s="26"/>
      <c r="BK655" s="26"/>
    </row>
    <row r="656" spans="3:63" x14ac:dyDescent="0.2">
      <c r="C656" s="26"/>
      <c r="D656" s="26"/>
      <c r="E656" s="26"/>
      <c r="F656" s="26"/>
      <c r="AV656" s="27"/>
      <c r="AW656" s="27"/>
      <c r="AX656" s="27"/>
      <c r="AY656" s="27"/>
      <c r="AZ656" s="27"/>
      <c r="BA656" s="27"/>
      <c r="BB656" s="26"/>
      <c r="BC656" s="27"/>
      <c r="BD656" s="26"/>
      <c r="BE656" s="27"/>
      <c r="BF656" s="26"/>
      <c r="BH656" s="26"/>
      <c r="BI656" s="26"/>
      <c r="BJ656" s="26"/>
      <c r="BK656" s="26"/>
    </row>
    <row r="657" spans="3:63" x14ac:dyDescent="0.2">
      <c r="C657" s="26"/>
      <c r="D657" s="26"/>
      <c r="E657" s="26"/>
      <c r="F657" s="26"/>
      <c r="AV657" s="27"/>
      <c r="AW657" s="27"/>
      <c r="AX657" s="27"/>
      <c r="AY657" s="27"/>
      <c r="AZ657" s="27"/>
      <c r="BA657" s="27"/>
      <c r="BB657" s="26"/>
      <c r="BC657" s="27"/>
      <c r="BD657" s="26"/>
      <c r="BE657" s="27"/>
      <c r="BF657" s="26"/>
      <c r="BH657" s="26"/>
      <c r="BI657" s="26"/>
      <c r="BJ657" s="26"/>
      <c r="BK657" s="26"/>
    </row>
    <row r="658" spans="3:63" x14ac:dyDescent="0.2">
      <c r="C658" s="26"/>
      <c r="D658" s="26"/>
      <c r="E658" s="26"/>
      <c r="F658" s="26"/>
      <c r="AV658" s="27"/>
      <c r="AW658" s="27"/>
      <c r="AX658" s="27"/>
      <c r="AY658" s="27"/>
      <c r="AZ658" s="27"/>
      <c r="BA658" s="27"/>
      <c r="BB658" s="26"/>
      <c r="BC658" s="27"/>
      <c r="BD658" s="26"/>
      <c r="BE658" s="27"/>
      <c r="BF658" s="26"/>
      <c r="BH658" s="26"/>
      <c r="BI658" s="26"/>
      <c r="BJ658" s="26"/>
      <c r="BK658" s="26"/>
    </row>
    <row r="659" spans="3:63" x14ac:dyDescent="0.2">
      <c r="C659" s="26"/>
      <c r="D659" s="26"/>
      <c r="E659" s="26"/>
      <c r="F659" s="26"/>
      <c r="AV659" s="27"/>
      <c r="AW659" s="27"/>
      <c r="AX659" s="27"/>
      <c r="AY659" s="27"/>
      <c r="AZ659" s="27"/>
      <c r="BA659" s="27"/>
      <c r="BB659" s="26"/>
      <c r="BC659" s="27"/>
      <c r="BD659" s="26"/>
      <c r="BE659" s="27"/>
      <c r="BF659" s="26"/>
      <c r="BH659" s="26"/>
      <c r="BI659" s="26"/>
      <c r="BJ659" s="26"/>
      <c r="BK659" s="26"/>
    </row>
    <row r="660" spans="3:63" x14ac:dyDescent="0.2">
      <c r="C660" s="26"/>
      <c r="D660" s="26"/>
      <c r="E660" s="26"/>
      <c r="F660" s="26"/>
      <c r="AV660" s="27"/>
      <c r="AW660" s="27"/>
      <c r="AX660" s="27"/>
      <c r="AY660" s="27"/>
      <c r="AZ660" s="27"/>
      <c r="BA660" s="27"/>
      <c r="BB660" s="26"/>
      <c r="BC660" s="27"/>
      <c r="BD660" s="26"/>
      <c r="BE660" s="27"/>
      <c r="BF660" s="26"/>
      <c r="BH660" s="26"/>
      <c r="BI660" s="26"/>
      <c r="BJ660" s="26"/>
      <c r="BK660" s="26"/>
    </row>
    <row r="661" spans="3:63" x14ac:dyDescent="0.2">
      <c r="C661" s="26"/>
      <c r="D661" s="26"/>
      <c r="E661" s="26"/>
      <c r="F661" s="26"/>
      <c r="AV661" s="27"/>
      <c r="AW661" s="27"/>
      <c r="AX661" s="27"/>
      <c r="AY661" s="27"/>
      <c r="AZ661" s="27"/>
      <c r="BA661" s="27"/>
      <c r="BB661" s="26"/>
      <c r="BC661" s="27"/>
      <c r="BD661" s="26"/>
      <c r="BE661" s="27"/>
      <c r="BF661" s="26"/>
      <c r="BH661" s="26"/>
      <c r="BI661" s="26"/>
      <c r="BJ661" s="26"/>
      <c r="BK661" s="26"/>
    </row>
    <row r="662" spans="3:63" x14ac:dyDescent="0.2">
      <c r="C662" s="26"/>
      <c r="D662" s="26"/>
      <c r="E662" s="26"/>
      <c r="F662" s="26"/>
      <c r="AV662" s="27"/>
      <c r="AW662" s="27"/>
      <c r="AX662" s="27"/>
      <c r="AY662" s="27"/>
      <c r="AZ662" s="27"/>
      <c r="BA662" s="27"/>
      <c r="BB662" s="26"/>
      <c r="BC662" s="27"/>
      <c r="BD662" s="26"/>
      <c r="BE662" s="27"/>
      <c r="BF662" s="26"/>
      <c r="BH662" s="26"/>
      <c r="BI662" s="26"/>
      <c r="BJ662" s="26"/>
      <c r="BK662" s="26"/>
    </row>
    <row r="663" spans="3:63" x14ac:dyDescent="0.2">
      <c r="C663" s="26"/>
      <c r="D663" s="26"/>
      <c r="E663" s="26"/>
      <c r="F663" s="26"/>
      <c r="AV663" s="27"/>
      <c r="AW663" s="27"/>
      <c r="AX663" s="27"/>
      <c r="AY663" s="27"/>
      <c r="AZ663" s="27"/>
      <c r="BA663" s="27"/>
      <c r="BB663" s="26"/>
      <c r="BC663" s="27"/>
      <c r="BD663" s="26"/>
      <c r="BE663" s="27"/>
      <c r="BF663" s="26"/>
      <c r="BH663" s="26"/>
      <c r="BI663" s="26"/>
      <c r="BJ663" s="26"/>
      <c r="BK663" s="26"/>
    </row>
    <row r="664" spans="3:63" x14ac:dyDescent="0.2">
      <c r="C664" s="26"/>
      <c r="D664" s="26"/>
      <c r="E664" s="26"/>
      <c r="F664" s="26"/>
      <c r="AV664" s="27"/>
      <c r="AW664" s="27"/>
      <c r="AX664" s="27"/>
      <c r="AY664" s="27"/>
      <c r="AZ664" s="27"/>
      <c r="BA664" s="27"/>
      <c r="BB664" s="26"/>
      <c r="BC664" s="27"/>
      <c r="BD664" s="26"/>
      <c r="BE664" s="27"/>
      <c r="BF664" s="26"/>
      <c r="BH664" s="26"/>
      <c r="BI664" s="26"/>
      <c r="BJ664" s="26"/>
      <c r="BK664" s="26"/>
    </row>
    <row r="665" spans="3:63" x14ac:dyDescent="0.2">
      <c r="C665" s="26"/>
      <c r="D665" s="26"/>
      <c r="E665" s="26"/>
      <c r="F665" s="26"/>
      <c r="AV665" s="27"/>
      <c r="AW665" s="27"/>
      <c r="AX665" s="27"/>
      <c r="AY665" s="27"/>
      <c r="AZ665" s="27"/>
      <c r="BA665" s="27"/>
      <c r="BB665" s="26"/>
      <c r="BC665" s="27"/>
      <c r="BD665" s="26"/>
      <c r="BE665" s="27"/>
      <c r="BF665" s="26"/>
      <c r="BH665" s="26"/>
      <c r="BI665" s="26"/>
      <c r="BJ665" s="26"/>
      <c r="BK665" s="26"/>
    </row>
    <row r="666" spans="3:63" x14ac:dyDescent="0.2">
      <c r="C666" s="26"/>
      <c r="D666" s="26"/>
      <c r="E666" s="26"/>
      <c r="F666" s="26"/>
      <c r="AV666" s="27"/>
      <c r="AW666" s="27"/>
      <c r="AX666" s="27"/>
      <c r="AY666" s="27"/>
      <c r="AZ666" s="27"/>
      <c r="BA666" s="27"/>
      <c r="BB666" s="26"/>
      <c r="BC666" s="27"/>
      <c r="BD666" s="26"/>
      <c r="BE666" s="27"/>
      <c r="BF666" s="26"/>
      <c r="BH666" s="26"/>
      <c r="BI666" s="26"/>
      <c r="BJ666" s="26"/>
      <c r="BK666" s="26"/>
    </row>
    <row r="667" spans="3:63" x14ac:dyDescent="0.2">
      <c r="C667" s="26"/>
      <c r="D667" s="26"/>
      <c r="E667" s="26"/>
      <c r="F667" s="26"/>
      <c r="AV667" s="27"/>
      <c r="AW667" s="27"/>
      <c r="AX667" s="27"/>
      <c r="AY667" s="27"/>
      <c r="AZ667" s="27"/>
      <c r="BA667" s="27"/>
      <c r="BB667" s="26"/>
      <c r="BC667" s="27"/>
      <c r="BD667" s="26"/>
      <c r="BE667" s="27"/>
      <c r="BF667" s="26"/>
      <c r="BH667" s="26"/>
      <c r="BI667" s="26"/>
      <c r="BJ667" s="26"/>
      <c r="BK667" s="26"/>
    </row>
    <row r="668" spans="3:63" x14ac:dyDescent="0.2">
      <c r="C668" s="26"/>
      <c r="D668" s="26"/>
      <c r="E668" s="26"/>
      <c r="F668" s="26"/>
      <c r="AV668" s="27"/>
      <c r="AW668" s="27"/>
      <c r="AX668" s="27"/>
      <c r="AY668" s="27"/>
      <c r="AZ668" s="27"/>
      <c r="BA668" s="27"/>
      <c r="BB668" s="26"/>
      <c r="BC668" s="27"/>
      <c r="BD668" s="26"/>
      <c r="BE668" s="27"/>
      <c r="BF668" s="26"/>
      <c r="BH668" s="26"/>
      <c r="BI668" s="26"/>
      <c r="BJ668" s="26"/>
      <c r="BK668" s="26"/>
    </row>
    <row r="669" spans="3:63" x14ac:dyDescent="0.2">
      <c r="C669" s="26"/>
      <c r="D669" s="26"/>
      <c r="E669" s="26"/>
      <c r="F669" s="26"/>
      <c r="AV669" s="27"/>
      <c r="AW669" s="27"/>
      <c r="AX669" s="27"/>
      <c r="AY669" s="27"/>
      <c r="AZ669" s="27"/>
      <c r="BA669" s="27"/>
      <c r="BB669" s="26"/>
      <c r="BC669" s="27"/>
      <c r="BD669" s="26"/>
      <c r="BE669" s="27"/>
      <c r="BF669" s="26"/>
      <c r="BH669" s="26"/>
      <c r="BI669" s="26"/>
      <c r="BJ669" s="26"/>
      <c r="BK669" s="26"/>
    </row>
    <row r="670" spans="3:63" x14ac:dyDescent="0.2">
      <c r="C670" s="26"/>
      <c r="D670" s="26"/>
      <c r="E670" s="26"/>
      <c r="F670" s="26"/>
      <c r="AV670" s="27"/>
      <c r="AW670" s="27"/>
      <c r="AX670" s="27"/>
      <c r="AY670" s="27"/>
      <c r="AZ670" s="27"/>
      <c r="BA670" s="27"/>
      <c r="BB670" s="26"/>
      <c r="BC670" s="27"/>
      <c r="BD670" s="26"/>
      <c r="BE670" s="27"/>
      <c r="BF670" s="26"/>
      <c r="BH670" s="26"/>
      <c r="BI670" s="26"/>
      <c r="BJ670" s="26"/>
      <c r="BK670" s="26"/>
    </row>
    <row r="671" spans="3:63" x14ac:dyDescent="0.2">
      <c r="C671" s="26"/>
      <c r="D671" s="26"/>
      <c r="E671" s="26"/>
      <c r="F671" s="26"/>
      <c r="AV671" s="27"/>
      <c r="AW671" s="27"/>
      <c r="AX671" s="27"/>
      <c r="AY671" s="27"/>
      <c r="AZ671" s="27"/>
      <c r="BA671" s="27"/>
      <c r="BB671" s="26"/>
      <c r="BC671" s="27"/>
      <c r="BD671" s="26"/>
      <c r="BE671" s="27"/>
      <c r="BF671" s="26"/>
      <c r="BH671" s="26"/>
      <c r="BI671" s="26"/>
      <c r="BJ671" s="26"/>
      <c r="BK671" s="26"/>
    </row>
    <row r="672" spans="3:63" x14ac:dyDescent="0.2">
      <c r="C672" s="26"/>
      <c r="D672" s="26"/>
      <c r="E672" s="26"/>
      <c r="F672" s="26"/>
      <c r="AV672" s="27"/>
      <c r="AW672" s="27"/>
      <c r="AX672" s="27"/>
      <c r="AY672" s="27"/>
      <c r="AZ672" s="27"/>
      <c r="BA672" s="27"/>
      <c r="BB672" s="26"/>
      <c r="BC672" s="27"/>
      <c r="BD672" s="26"/>
      <c r="BE672" s="27"/>
      <c r="BF672" s="26"/>
      <c r="BH672" s="26"/>
      <c r="BI672" s="26"/>
      <c r="BJ672" s="26"/>
      <c r="BK672" s="26"/>
    </row>
    <row r="673" spans="3:63" x14ac:dyDescent="0.2">
      <c r="C673" s="26"/>
      <c r="D673" s="26"/>
      <c r="E673" s="26"/>
      <c r="F673" s="26"/>
      <c r="AV673" s="27"/>
      <c r="AW673" s="27"/>
      <c r="AX673" s="27"/>
      <c r="AY673" s="27"/>
      <c r="AZ673" s="27"/>
      <c r="BA673" s="27"/>
      <c r="BB673" s="26"/>
      <c r="BC673" s="27"/>
      <c r="BD673" s="26"/>
      <c r="BE673" s="27"/>
      <c r="BF673" s="26"/>
      <c r="BH673" s="26"/>
      <c r="BI673" s="26"/>
      <c r="BJ673" s="26"/>
      <c r="BK673" s="26"/>
    </row>
    <row r="674" spans="3:63" x14ac:dyDescent="0.2">
      <c r="C674" s="26"/>
      <c r="D674" s="26"/>
      <c r="E674" s="26"/>
      <c r="F674" s="26"/>
      <c r="AV674" s="27"/>
      <c r="AW674" s="27"/>
      <c r="AX674" s="27"/>
      <c r="AY674" s="27"/>
      <c r="AZ674" s="27"/>
      <c r="BA674" s="27"/>
      <c r="BB674" s="26"/>
      <c r="BC674" s="27"/>
      <c r="BD674" s="26"/>
      <c r="BE674" s="27"/>
      <c r="BF674" s="26"/>
      <c r="BH674" s="26"/>
      <c r="BI674" s="26"/>
      <c r="BJ674" s="26"/>
      <c r="BK674" s="26"/>
    </row>
    <row r="675" spans="3:63" x14ac:dyDescent="0.2">
      <c r="C675" s="26"/>
      <c r="D675" s="26"/>
      <c r="E675" s="26"/>
      <c r="F675" s="26"/>
      <c r="AV675" s="27"/>
      <c r="AW675" s="27"/>
      <c r="AX675" s="27"/>
      <c r="AY675" s="27"/>
      <c r="AZ675" s="27"/>
      <c r="BA675" s="27"/>
      <c r="BB675" s="26"/>
      <c r="BC675" s="27"/>
      <c r="BD675" s="26"/>
      <c r="BE675" s="27"/>
      <c r="BF675" s="26"/>
      <c r="BH675" s="26"/>
      <c r="BI675" s="26"/>
      <c r="BJ675" s="26"/>
      <c r="BK675" s="26"/>
    </row>
    <row r="676" spans="3:63" x14ac:dyDescent="0.2">
      <c r="C676" s="26"/>
      <c r="D676" s="26"/>
      <c r="E676" s="26"/>
      <c r="F676" s="26"/>
      <c r="AV676" s="27"/>
      <c r="AW676" s="27"/>
      <c r="AX676" s="27"/>
      <c r="AY676" s="27"/>
      <c r="AZ676" s="27"/>
      <c r="BA676" s="27"/>
      <c r="BB676" s="26"/>
      <c r="BC676" s="27"/>
      <c r="BD676" s="26"/>
      <c r="BE676" s="27"/>
      <c r="BF676" s="26"/>
      <c r="BH676" s="26"/>
      <c r="BI676" s="26"/>
      <c r="BJ676" s="26"/>
      <c r="BK676" s="26"/>
    </row>
    <row r="677" spans="3:63" x14ac:dyDescent="0.2">
      <c r="C677" s="26"/>
      <c r="D677" s="26"/>
      <c r="E677" s="26"/>
      <c r="F677" s="26"/>
      <c r="AV677" s="27"/>
      <c r="AW677" s="27"/>
      <c r="AX677" s="27"/>
      <c r="AY677" s="27"/>
      <c r="AZ677" s="27"/>
      <c r="BA677" s="27"/>
      <c r="BB677" s="26"/>
      <c r="BC677" s="27"/>
      <c r="BD677" s="26"/>
      <c r="BE677" s="27"/>
      <c r="BF677" s="26"/>
      <c r="BH677" s="26"/>
      <c r="BI677" s="26"/>
      <c r="BJ677" s="26"/>
      <c r="BK677" s="26"/>
    </row>
    <row r="678" spans="3:63" x14ac:dyDescent="0.2">
      <c r="C678" s="26"/>
      <c r="D678" s="26"/>
      <c r="E678" s="26"/>
      <c r="F678" s="26"/>
      <c r="AV678" s="27"/>
      <c r="AW678" s="27"/>
      <c r="AX678" s="27"/>
      <c r="AY678" s="27"/>
      <c r="AZ678" s="27"/>
      <c r="BA678" s="27"/>
      <c r="BB678" s="26"/>
      <c r="BC678" s="27"/>
      <c r="BD678" s="26"/>
      <c r="BE678" s="27"/>
      <c r="BF678" s="26"/>
      <c r="BH678" s="26"/>
      <c r="BI678" s="26"/>
      <c r="BJ678" s="26"/>
      <c r="BK678" s="26"/>
    </row>
    <row r="679" spans="3:63" x14ac:dyDescent="0.2">
      <c r="C679" s="26"/>
      <c r="D679" s="26"/>
      <c r="E679" s="26"/>
      <c r="F679" s="26"/>
      <c r="AV679" s="27"/>
      <c r="AW679" s="27"/>
      <c r="AX679" s="27"/>
      <c r="AY679" s="27"/>
      <c r="AZ679" s="27"/>
      <c r="BA679" s="27"/>
      <c r="BB679" s="26"/>
      <c r="BC679" s="27"/>
      <c r="BD679" s="26"/>
      <c r="BE679" s="27"/>
      <c r="BF679" s="26"/>
      <c r="BH679" s="26"/>
      <c r="BI679" s="26"/>
      <c r="BJ679" s="26"/>
      <c r="BK679" s="26"/>
    </row>
    <row r="680" spans="3:63" x14ac:dyDescent="0.2">
      <c r="C680" s="26"/>
      <c r="D680" s="26"/>
      <c r="E680" s="26"/>
      <c r="F680" s="26"/>
      <c r="AV680" s="27"/>
      <c r="AW680" s="27"/>
      <c r="AX680" s="27"/>
      <c r="AY680" s="27"/>
      <c r="AZ680" s="27"/>
      <c r="BA680" s="27"/>
      <c r="BB680" s="26"/>
      <c r="BC680" s="27"/>
      <c r="BD680" s="26"/>
      <c r="BE680" s="27"/>
      <c r="BF680" s="26"/>
      <c r="BH680" s="26"/>
      <c r="BI680" s="26"/>
      <c r="BJ680" s="26"/>
      <c r="BK680" s="26"/>
    </row>
    <row r="681" spans="3:63" x14ac:dyDescent="0.2">
      <c r="C681" s="26"/>
      <c r="D681" s="26"/>
      <c r="E681" s="26"/>
      <c r="F681" s="26"/>
      <c r="AV681" s="27"/>
      <c r="AW681" s="27"/>
      <c r="AX681" s="27"/>
      <c r="AY681" s="27"/>
      <c r="AZ681" s="27"/>
      <c r="BA681" s="27"/>
      <c r="BB681" s="26"/>
      <c r="BC681" s="27"/>
      <c r="BD681" s="26"/>
      <c r="BE681" s="27"/>
      <c r="BF681" s="26"/>
      <c r="BH681" s="26"/>
      <c r="BI681" s="26"/>
      <c r="BJ681" s="26"/>
      <c r="BK681" s="26"/>
    </row>
    <row r="682" spans="3:63" x14ac:dyDescent="0.2">
      <c r="C682" s="26"/>
      <c r="D682" s="26"/>
      <c r="E682" s="26"/>
      <c r="F682" s="26"/>
      <c r="AV682" s="27"/>
      <c r="AW682" s="27"/>
      <c r="AX682" s="27"/>
      <c r="AY682" s="27"/>
      <c r="AZ682" s="27"/>
      <c r="BA682" s="27"/>
      <c r="BB682" s="26"/>
      <c r="BC682" s="27"/>
      <c r="BD682" s="26"/>
      <c r="BE682" s="27"/>
      <c r="BF682" s="26"/>
      <c r="BH682" s="26"/>
      <c r="BI682" s="26"/>
      <c r="BJ682" s="26"/>
      <c r="BK682" s="26"/>
    </row>
    <row r="683" spans="3:63" x14ac:dyDescent="0.2">
      <c r="C683" s="26"/>
      <c r="D683" s="26"/>
      <c r="E683" s="26"/>
      <c r="F683" s="26"/>
      <c r="AV683" s="27"/>
      <c r="AW683" s="27"/>
      <c r="AX683" s="27"/>
      <c r="AY683" s="27"/>
      <c r="AZ683" s="27"/>
      <c r="BA683" s="27"/>
      <c r="BB683" s="26"/>
      <c r="BC683" s="27"/>
      <c r="BD683" s="26"/>
      <c r="BE683" s="27"/>
      <c r="BF683" s="26"/>
      <c r="BH683" s="26"/>
      <c r="BI683" s="26"/>
      <c r="BJ683" s="26"/>
      <c r="BK683" s="26"/>
    </row>
    <row r="684" spans="3:63" x14ac:dyDescent="0.2">
      <c r="C684" s="26"/>
      <c r="D684" s="26"/>
      <c r="E684" s="26"/>
      <c r="F684" s="26"/>
      <c r="AV684" s="27"/>
      <c r="AW684" s="27"/>
      <c r="AX684" s="27"/>
      <c r="AY684" s="27"/>
      <c r="AZ684" s="27"/>
      <c r="BA684" s="27"/>
      <c r="BB684" s="26"/>
      <c r="BC684" s="27"/>
      <c r="BD684" s="26"/>
      <c r="BE684" s="27"/>
      <c r="BF684" s="26"/>
      <c r="BH684" s="26"/>
      <c r="BI684" s="26"/>
      <c r="BJ684" s="26"/>
      <c r="BK684" s="26"/>
    </row>
    <row r="685" spans="3:63" x14ac:dyDescent="0.2">
      <c r="C685" s="26"/>
      <c r="D685" s="26"/>
      <c r="E685" s="26"/>
      <c r="F685" s="26"/>
      <c r="AV685" s="27"/>
      <c r="AW685" s="27"/>
      <c r="AX685" s="27"/>
      <c r="AY685" s="27"/>
      <c r="AZ685" s="27"/>
      <c r="BA685" s="27"/>
      <c r="BB685" s="26"/>
      <c r="BC685" s="27"/>
      <c r="BD685" s="26"/>
      <c r="BE685" s="27"/>
      <c r="BF685" s="26"/>
      <c r="BH685" s="26"/>
      <c r="BI685" s="26"/>
      <c r="BJ685" s="26"/>
      <c r="BK685" s="26"/>
    </row>
    <row r="686" spans="3:63" x14ac:dyDescent="0.2">
      <c r="C686" s="26"/>
      <c r="D686" s="26"/>
      <c r="E686" s="26"/>
      <c r="F686" s="26"/>
      <c r="AV686" s="27"/>
      <c r="AW686" s="27"/>
      <c r="AX686" s="27"/>
      <c r="AY686" s="27"/>
      <c r="AZ686" s="27"/>
      <c r="BA686" s="27"/>
      <c r="BB686" s="26"/>
      <c r="BC686" s="27"/>
      <c r="BD686" s="26"/>
      <c r="BE686" s="27"/>
      <c r="BF686" s="26"/>
      <c r="BH686" s="26"/>
      <c r="BI686" s="26"/>
      <c r="BJ686" s="26"/>
      <c r="BK686" s="26"/>
    </row>
    <row r="687" spans="3:63" x14ac:dyDescent="0.2">
      <c r="C687" s="26"/>
      <c r="D687" s="26"/>
      <c r="E687" s="26"/>
      <c r="F687" s="26"/>
      <c r="AV687" s="27"/>
      <c r="AW687" s="27"/>
      <c r="AX687" s="27"/>
      <c r="AY687" s="27"/>
      <c r="AZ687" s="27"/>
      <c r="BA687" s="27"/>
      <c r="BB687" s="26"/>
      <c r="BC687" s="27"/>
      <c r="BD687" s="26"/>
      <c r="BE687" s="27"/>
      <c r="BF687" s="26"/>
      <c r="BH687" s="26"/>
      <c r="BI687" s="26"/>
      <c r="BJ687" s="26"/>
      <c r="BK687" s="26"/>
    </row>
    <row r="688" spans="3:63" x14ac:dyDescent="0.2">
      <c r="C688" s="26"/>
      <c r="D688" s="26"/>
      <c r="E688" s="26"/>
      <c r="F688" s="26"/>
      <c r="AV688" s="27"/>
      <c r="AW688" s="27"/>
      <c r="AX688" s="27"/>
      <c r="AY688" s="27"/>
      <c r="AZ688" s="27"/>
      <c r="BA688" s="27"/>
      <c r="BB688" s="26"/>
      <c r="BC688" s="27"/>
      <c r="BD688" s="26"/>
      <c r="BE688" s="27"/>
      <c r="BF688" s="26"/>
      <c r="BH688" s="26"/>
      <c r="BI688" s="26"/>
      <c r="BJ688" s="26"/>
      <c r="BK688" s="26"/>
    </row>
    <row r="689" spans="3:63" x14ac:dyDescent="0.2">
      <c r="C689" s="26"/>
      <c r="D689" s="26"/>
      <c r="E689" s="26"/>
      <c r="F689" s="26"/>
      <c r="AV689" s="27"/>
      <c r="AW689" s="27"/>
      <c r="AX689" s="27"/>
      <c r="AY689" s="27"/>
      <c r="AZ689" s="27"/>
      <c r="BA689" s="27"/>
      <c r="BB689" s="26"/>
      <c r="BC689" s="27"/>
      <c r="BD689" s="26"/>
      <c r="BE689" s="27"/>
      <c r="BF689" s="26"/>
      <c r="BH689" s="26"/>
      <c r="BI689" s="26"/>
      <c r="BJ689" s="26"/>
      <c r="BK689" s="26"/>
    </row>
    <row r="690" spans="3:63" x14ac:dyDescent="0.2">
      <c r="C690" s="26"/>
      <c r="D690" s="26"/>
      <c r="E690" s="26"/>
      <c r="F690" s="26"/>
      <c r="AV690" s="27"/>
      <c r="AW690" s="27"/>
      <c r="AX690" s="27"/>
      <c r="AY690" s="27"/>
      <c r="AZ690" s="27"/>
      <c r="BA690" s="27"/>
      <c r="BB690" s="26"/>
      <c r="BC690" s="27"/>
      <c r="BD690" s="26"/>
      <c r="BE690" s="27"/>
      <c r="BF690" s="26"/>
      <c r="BH690" s="26"/>
      <c r="BI690" s="26"/>
      <c r="BJ690" s="26"/>
      <c r="BK690" s="26"/>
    </row>
    <row r="691" spans="3:63" x14ac:dyDescent="0.2">
      <c r="C691" s="26"/>
      <c r="D691" s="26"/>
      <c r="E691" s="26"/>
      <c r="F691" s="26"/>
      <c r="AV691" s="27"/>
      <c r="AW691" s="27"/>
      <c r="AX691" s="27"/>
      <c r="AY691" s="27"/>
      <c r="AZ691" s="27"/>
      <c r="BA691" s="27"/>
      <c r="BB691" s="26"/>
      <c r="BC691" s="27"/>
      <c r="BD691" s="26"/>
      <c r="BE691" s="27"/>
      <c r="BF691" s="26"/>
      <c r="BH691" s="26"/>
      <c r="BI691" s="26"/>
      <c r="BJ691" s="26"/>
      <c r="BK691" s="26"/>
    </row>
    <row r="692" spans="3:63" x14ac:dyDescent="0.2">
      <c r="C692" s="26"/>
      <c r="D692" s="26"/>
      <c r="E692" s="26"/>
      <c r="F692" s="26"/>
      <c r="AV692" s="27"/>
      <c r="AW692" s="27"/>
      <c r="AX692" s="27"/>
      <c r="AY692" s="27"/>
      <c r="AZ692" s="27"/>
      <c r="BA692" s="27"/>
      <c r="BB692" s="26"/>
      <c r="BC692" s="27"/>
      <c r="BD692" s="26"/>
      <c r="BE692" s="27"/>
      <c r="BF692" s="26"/>
      <c r="BH692" s="26"/>
      <c r="BI692" s="26"/>
      <c r="BJ692" s="26"/>
      <c r="BK692" s="26"/>
    </row>
    <row r="693" spans="3:63" x14ac:dyDescent="0.2">
      <c r="C693" s="26"/>
      <c r="D693" s="26"/>
      <c r="E693" s="26"/>
      <c r="F693" s="26"/>
      <c r="AV693" s="27"/>
      <c r="AW693" s="27"/>
      <c r="AX693" s="27"/>
      <c r="AY693" s="27"/>
      <c r="AZ693" s="27"/>
      <c r="BA693" s="27"/>
      <c r="BB693" s="26"/>
      <c r="BC693" s="27"/>
      <c r="BD693" s="26"/>
      <c r="BE693" s="27"/>
      <c r="BF693" s="26"/>
      <c r="BH693" s="26"/>
      <c r="BI693" s="26"/>
      <c r="BJ693" s="26"/>
      <c r="BK693" s="26"/>
    </row>
    <row r="694" spans="3:63" x14ac:dyDescent="0.2">
      <c r="C694" s="26"/>
      <c r="D694" s="26"/>
      <c r="E694" s="26"/>
      <c r="F694" s="26"/>
      <c r="AV694" s="27"/>
      <c r="AW694" s="27"/>
      <c r="AX694" s="27"/>
      <c r="AY694" s="27"/>
      <c r="AZ694" s="27"/>
      <c r="BA694" s="27"/>
      <c r="BB694" s="26"/>
      <c r="BC694" s="27"/>
      <c r="BD694" s="26"/>
      <c r="BE694" s="27"/>
      <c r="BF694" s="26"/>
      <c r="BH694" s="26"/>
      <c r="BI694" s="26"/>
      <c r="BJ694" s="26"/>
      <c r="BK694" s="26"/>
    </row>
    <row r="695" spans="3:63" x14ac:dyDescent="0.2">
      <c r="C695" s="26"/>
      <c r="D695" s="26"/>
      <c r="E695" s="26"/>
      <c r="F695" s="26"/>
      <c r="AV695" s="27"/>
      <c r="AW695" s="27"/>
      <c r="AX695" s="27"/>
      <c r="AY695" s="27"/>
      <c r="AZ695" s="27"/>
      <c r="BA695" s="27"/>
      <c r="BB695" s="26"/>
      <c r="BC695" s="27"/>
      <c r="BD695" s="26"/>
      <c r="BE695" s="27"/>
      <c r="BF695" s="26"/>
      <c r="BH695" s="26"/>
      <c r="BI695" s="26"/>
      <c r="BJ695" s="26"/>
      <c r="BK695" s="26"/>
    </row>
    <row r="696" spans="3:63" x14ac:dyDescent="0.2">
      <c r="C696" s="26"/>
      <c r="D696" s="26"/>
      <c r="E696" s="26"/>
      <c r="F696" s="26"/>
      <c r="AV696" s="27"/>
      <c r="AW696" s="27"/>
      <c r="AX696" s="27"/>
      <c r="AY696" s="27"/>
      <c r="AZ696" s="27"/>
      <c r="BA696" s="27"/>
      <c r="BB696" s="26"/>
      <c r="BC696" s="27"/>
      <c r="BD696" s="26"/>
      <c r="BE696" s="27"/>
      <c r="BF696" s="26"/>
      <c r="BH696" s="26"/>
      <c r="BI696" s="26"/>
      <c r="BJ696" s="26"/>
      <c r="BK696" s="26"/>
    </row>
    <row r="697" spans="3:63" x14ac:dyDescent="0.2">
      <c r="C697" s="26"/>
      <c r="D697" s="26"/>
      <c r="E697" s="26"/>
      <c r="F697" s="26"/>
      <c r="AV697" s="27"/>
      <c r="AW697" s="27"/>
      <c r="AX697" s="27"/>
      <c r="AY697" s="27"/>
      <c r="AZ697" s="27"/>
      <c r="BA697" s="27"/>
      <c r="BB697" s="26"/>
      <c r="BC697" s="27"/>
      <c r="BD697" s="26"/>
      <c r="BE697" s="27"/>
      <c r="BF697" s="26"/>
      <c r="BH697" s="26"/>
      <c r="BI697" s="26"/>
      <c r="BJ697" s="26"/>
      <c r="BK697" s="26"/>
    </row>
    <row r="698" spans="3:63" x14ac:dyDescent="0.2">
      <c r="C698" s="26"/>
      <c r="D698" s="26"/>
      <c r="E698" s="26"/>
      <c r="F698" s="26"/>
      <c r="AV698" s="27"/>
      <c r="AW698" s="27"/>
      <c r="AX698" s="27"/>
      <c r="AY698" s="27"/>
      <c r="AZ698" s="27"/>
      <c r="BA698" s="27"/>
      <c r="BB698" s="26"/>
      <c r="BC698" s="27"/>
      <c r="BD698" s="26"/>
      <c r="BE698" s="27"/>
      <c r="BF698" s="26"/>
      <c r="BH698" s="26"/>
      <c r="BI698" s="26"/>
      <c r="BJ698" s="26"/>
      <c r="BK698" s="26"/>
    </row>
    <row r="699" spans="3:63" x14ac:dyDescent="0.2">
      <c r="C699" s="26"/>
      <c r="D699" s="26"/>
      <c r="E699" s="26"/>
      <c r="F699" s="26"/>
      <c r="AV699" s="27"/>
      <c r="AW699" s="27"/>
      <c r="AX699" s="27"/>
      <c r="AY699" s="27"/>
      <c r="AZ699" s="27"/>
      <c r="BA699" s="27"/>
      <c r="BB699" s="26"/>
      <c r="BC699" s="27"/>
      <c r="BD699" s="26"/>
      <c r="BE699" s="27"/>
      <c r="BF699" s="26"/>
      <c r="BH699" s="26"/>
      <c r="BI699" s="26"/>
      <c r="BJ699" s="26"/>
      <c r="BK699" s="26"/>
    </row>
    <row r="700" spans="3:63" x14ac:dyDescent="0.2">
      <c r="C700" s="26"/>
      <c r="D700" s="26"/>
      <c r="E700" s="26"/>
      <c r="F700" s="26"/>
      <c r="AV700" s="27"/>
      <c r="AW700" s="27"/>
      <c r="AX700" s="27"/>
      <c r="AY700" s="27"/>
      <c r="AZ700" s="27"/>
      <c r="BA700" s="27"/>
      <c r="BB700" s="26"/>
      <c r="BC700" s="27"/>
      <c r="BD700" s="26"/>
      <c r="BE700" s="27"/>
      <c r="BF700" s="26"/>
      <c r="BH700" s="26"/>
      <c r="BI700" s="26"/>
      <c r="BJ700" s="26"/>
      <c r="BK700" s="26"/>
    </row>
    <row r="701" spans="3:63" x14ac:dyDescent="0.2">
      <c r="C701" s="26"/>
      <c r="D701" s="26"/>
      <c r="E701" s="26"/>
      <c r="F701" s="26"/>
      <c r="AV701" s="27"/>
      <c r="AW701" s="27"/>
      <c r="AX701" s="27"/>
      <c r="AY701" s="27"/>
      <c r="AZ701" s="27"/>
      <c r="BA701" s="27"/>
      <c r="BB701" s="26"/>
      <c r="BC701" s="27"/>
      <c r="BD701" s="26"/>
      <c r="BE701" s="27"/>
      <c r="BF701" s="26"/>
      <c r="BH701" s="26"/>
      <c r="BI701" s="26"/>
      <c r="BJ701" s="26"/>
      <c r="BK701" s="26"/>
    </row>
    <row r="702" spans="3:63" x14ac:dyDescent="0.2">
      <c r="C702" s="26"/>
      <c r="D702" s="26"/>
      <c r="E702" s="26"/>
      <c r="F702" s="26"/>
      <c r="AV702" s="27"/>
      <c r="AW702" s="27"/>
      <c r="AX702" s="27"/>
      <c r="AY702" s="27"/>
      <c r="AZ702" s="27"/>
      <c r="BA702" s="27"/>
      <c r="BB702" s="26"/>
      <c r="BC702" s="27"/>
      <c r="BD702" s="26"/>
      <c r="BE702" s="27"/>
      <c r="BF702" s="26"/>
      <c r="BH702" s="26"/>
      <c r="BI702" s="26"/>
      <c r="BJ702" s="26"/>
      <c r="BK702" s="26"/>
    </row>
    <row r="703" spans="3:63" x14ac:dyDescent="0.2">
      <c r="C703" s="26"/>
      <c r="D703" s="26"/>
      <c r="E703" s="26"/>
      <c r="F703" s="26"/>
      <c r="AV703" s="27"/>
      <c r="AW703" s="27"/>
      <c r="AX703" s="27"/>
      <c r="AY703" s="27"/>
      <c r="AZ703" s="27"/>
      <c r="BA703" s="27"/>
      <c r="BB703" s="26"/>
      <c r="BC703" s="27"/>
      <c r="BD703" s="26"/>
      <c r="BE703" s="27"/>
      <c r="BF703" s="26"/>
      <c r="BH703" s="26"/>
      <c r="BI703" s="26"/>
      <c r="BJ703" s="26"/>
      <c r="BK703" s="26"/>
    </row>
    <row r="704" spans="3:63" x14ac:dyDescent="0.2">
      <c r="C704" s="26"/>
      <c r="D704" s="26"/>
      <c r="E704" s="26"/>
      <c r="F704" s="26"/>
      <c r="AV704" s="27"/>
      <c r="AW704" s="27"/>
      <c r="AX704" s="27"/>
      <c r="AY704" s="27"/>
      <c r="AZ704" s="27"/>
      <c r="BA704" s="27"/>
      <c r="BB704" s="26"/>
      <c r="BC704" s="27"/>
      <c r="BD704" s="26"/>
      <c r="BE704" s="27"/>
      <c r="BF704" s="26"/>
      <c r="BH704" s="26"/>
      <c r="BI704" s="26"/>
      <c r="BJ704" s="26"/>
      <c r="BK704" s="26"/>
    </row>
    <row r="705" spans="3:63" x14ac:dyDescent="0.2">
      <c r="C705" s="26"/>
      <c r="D705" s="26"/>
      <c r="E705" s="26"/>
      <c r="F705" s="26"/>
      <c r="AV705" s="27"/>
      <c r="AW705" s="27"/>
      <c r="AX705" s="27"/>
      <c r="AY705" s="27"/>
      <c r="AZ705" s="27"/>
      <c r="BA705" s="27"/>
      <c r="BB705" s="26"/>
      <c r="BC705" s="27"/>
      <c r="BD705" s="26"/>
      <c r="BE705" s="27"/>
      <c r="BF705" s="26"/>
      <c r="BH705" s="26"/>
      <c r="BI705" s="26"/>
      <c r="BJ705" s="26"/>
      <c r="BK705" s="26"/>
    </row>
    <row r="706" spans="3:63" x14ac:dyDescent="0.2">
      <c r="C706" s="26"/>
      <c r="D706" s="26"/>
      <c r="E706" s="26"/>
      <c r="F706" s="26"/>
      <c r="AV706" s="27"/>
      <c r="AW706" s="27"/>
      <c r="AX706" s="27"/>
      <c r="AY706" s="27"/>
      <c r="AZ706" s="27"/>
      <c r="BA706" s="27"/>
      <c r="BB706" s="26"/>
      <c r="BC706" s="27"/>
      <c r="BD706" s="26"/>
      <c r="BE706" s="27"/>
      <c r="BF706" s="26"/>
      <c r="BH706" s="26"/>
      <c r="BI706" s="26"/>
      <c r="BJ706" s="26"/>
      <c r="BK706" s="26"/>
    </row>
    <row r="707" spans="3:63" x14ac:dyDescent="0.2">
      <c r="C707" s="26"/>
      <c r="D707" s="26"/>
      <c r="E707" s="26"/>
      <c r="F707" s="26"/>
      <c r="AV707" s="27"/>
      <c r="AW707" s="27"/>
      <c r="AX707" s="27"/>
      <c r="AY707" s="27"/>
      <c r="AZ707" s="27"/>
      <c r="BA707" s="27"/>
      <c r="BB707" s="26"/>
      <c r="BC707" s="27"/>
      <c r="BD707" s="26"/>
      <c r="BE707" s="27"/>
      <c r="BF707" s="26"/>
      <c r="BH707" s="26"/>
      <c r="BI707" s="26"/>
      <c r="BJ707" s="26"/>
      <c r="BK707" s="26"/>
    </row>
    <row r="708" spans="3:63" x14ac:dyDescent="0.2">
      <c r="C708" s="26"/>
      <c r="D708" s="26"/>
      <c r="E708" s="26"/>
      <c r="F708" s="26"/>
      <c r="AV708" s="27"/>
      <c r="AW708" s="27"/>
      <c r="AX708" s="27"/>
      <c r="AY708" s="27"/>
      <c r="AZ708" s="27"/>
      <c r="BA708" s="27"/>
      <c r="BB708" s="26"/>
      <c r="BC708" s="27"/>
      <c r="BD708" s="26"/>
      <c r="BE708" s="27"/>
      <c r="BF708" s="26"/>
      <c r="BH708" s="26"/>
      <c r="BI708" s="26"/>
      <c r="BJ708" s="26"/>
      <c r="BK708" s="26"/>
    </row>
    <row r="709" spans="3:63" x14ac:dyDescent="0.2">
      <c r="C709" s="26"/>
      <c r="D709" s="26"/>
      <c r="E709" s="26"/>
      <c r="F709" s="26"/>
      <c r="AV709" s="27"/>
      <c r="AW709" s="27"/>
      <c r="AX709" s="27"/>
      <c r="AY709" s="27"/>
      <c r="AZ709" s="27"/>
      <c r="BA709" s="27"/>
      <c r="BB709" s="26"/>
      <c r="BC709" s="27"/>
      <c r="BD709" s="26"/>
      <c r="BE709" s="27"/>
      <c r="BF709" s="26"/>
      <c r="BH709" s="26"/>
      <c r="BI709" s="26"/>
      <c r="BJ709" s="26"/>
      <c r="BK709" s="26"/>
    </row>
    <row r="710" spans="3:63" x14ac:dyDescent="0.2">
      <c r="C710" s="26"/>
      <c r="D710" s="26"/>
      <c r="E710" s="26"/>
      <c r="F710" s="26"/>
      <c r="AV710" s="27"/>
      <c r="AW710" s="27"/>
      <c r="AX710" s="27"/>
      <c r="AY710" s="27"/>
      <c r="AZ710" s="27"/>
      <c r="BA710" s="27"/>
      <c r="BB710" s="26"/>
      <c r="BC710" s="27"/>
      <c r="BD710" s="26"/>
      <c r="BE710" s="27"/>
      <c r="BF710" s="26"/>
      <c r="BH710" s="26"/>
      <c r="BI710" s="26"/>
      <c r="BJ710" s="26"/>
      <c r="BK710" s="26"/>
    </row>
    <row r="711" spans="3:63" x14ac:dyDescent="0.2">
      <c r="C711" s="26"/>
      <c r="D711" s="26"/>
      <c r="E711" s="26"/>
      <c r="F711" s="26"/>
      <c r="AV711" s="27"/>
      <c r="AW711" s="27"/>
      <c r="AX711" s="27"/>
      <c r="AY711" s="27"/>
      <c r="AZ711" s="27"/>
      <c r="BA711" s="27"/>
      <c r="BB711" s="26"/>
      <c r="BC711" s="27"/>
      <c r="BD711" s="26"/>
      <c r="BE711" s="27"/>
      <c r="BF711" s="26"/>
      <c r="BH711" s="26"/>
      <c r="BI711" s="26"/>
      <c r="BJ711" s="26"/>
      <c r="BK711" s="26"/>
    </row>
    <row r="712" spans="3:63" x14ac:dyDescent="0.2">
      <c r="C712" s="26"/>
      <c r="D712" s="26"/>
      <c r="E712" s="26"/>
      <c r="F712" s="26"/>
      <c r="AV712" s="27"/>
      <c r="AW712" s="27"/>
      <c r="AX712" s="27"/>
      <c r="AY712" s="27"/>
      <c r="AZ712" s="27"/>
      <c r="BA712" s="27"/>
      <c r="BB712" s="26"/>
      <c r="BC712" s="27"/>
      <c r="BD712" s="26"/>
      <c r="BE712" s="27"/>
      <c r="BF712" s="26"/>
      <c r="BH712" s="26"/>
      <c r="BI712" s="26"/>
      <c r="BJ712" s="26"/>
      <c r="BK712" s="26"/>
    </row>
    <row r="713" spans="3:63" x14ac:dyDescent="0.2">
      <c r="C713" s="26"/>
      <c r="D713" s="26"/>
      <c r="E713" s="26"/>
      <c r="F713" s="26"/>
      <c r="AV713" s="27"/>
      <c r="AW713" s="27"/>
      <c r="AX713" s="27"/>
      <c r="AY713" s="27"/>
      <c r="AZ713" s="27"/>
      <c r="BA713" s="27"/>
      <c r="BB713" s="26"/>
      <c r="BC713" s="27"/>
      <c r="BD713" s="26"/>
      <c r="BE713" s="27"/>
      <c r="BF713" s="26"/>
      <c r="BH713" s="26"/>
      <c r="BI713" s="26"/>
      <c r="BJ713" s="26"/>
      <c r="BK713" s="26"/>
    </row>
    <row r="714" spans="3:63" x14ac:dyDescent="0.2">
      <c r="C714" s="26"/>
      <c r="D714" s="26"/>
      <c r="E714" s="26"/>
      <c r="F714" s="26"/>
      <c r="AV714" s="27"/>
      <c r="AW714" s="27"/>
      <c r="AX714" s="27"/>
      <c r="AY714" s="27"/>
      <c r="AZ714" s="27"/>
      <c r="BA714" s="27"/>
      <c r="BB714" s="26"/>
      <c r="BC714" s="27"/>
      <c r="BD714" s="26"/>
      <c r="BE714" s="27"/>
      <c r="BF714" s="26"/>
      <c r="BH714" s="26"/>
      <c r="BI714" s="26"/>
      <c r="BJ714" s="26"/>
      <c r="BK714" s="26"/>
    </row>
    <row r="715" spans="3:63" x14ac:dyDescent="0.2">
      <c r="C715" s="26"/>
      <c r="D715" s="26"/>
      <c r="E715" s="26"/>
      <c r="F715" s="26"/>
      <c r="AV715" s="27"/>
      <c r="AW715" s="27"/>
      <c r="AX715" s="27"/>
      <c r="AY715" s="27"/>
      <c r="AZ715" s="27"/>
      <c r="BA715" s="27"/>
      <c r="BB715" s="26"/>
      <c r="BC715" s="27"/>
      <c r="BD715" s="26"/>
      <c r="BE715" s="27"/>
      <c r="BF715" s="26"/>
      <c r="BH715" s="26"/>
      <c r="BI715" s="26"/>
      <c r="BJ715" s="26"/>
      <c r="BK715" s="26"/>
    </row>
    <row r="716" spans="3:63" x14ac:dyDescent="0.2">
      <c r="C716" s="26"/>
      <c r="D716" s="26"/>
      <c r="E716" s="26"/>
      <c r="F716" s="26"/>
      <c r="AV716" s="27"/>
      <c r="AW716" s="27"/>
      <c r="AX716" s="27"/>
      <c r="AY716" s="27"/>
      <c r="AZ716" s="27"/>
      <c r="BA716" s="27"/>
      <c r="BB716" s="26"/>
      <c r="BC716" s="27"/>
      <c r="BD716" s="26"/>
      <c r="BE716" s="27"/>
      <c r="BF716" s="26"/>
      <c r="BH716" s="26"/>
      <c r="BI716" s="26"/>
      <c r="BJ716" s="26"/>
      <c r="BK716" s="26"/>
    </row>
    <row r="717" spans="3:63" x14ac:dyDescent="0.2">
      <c r="C717" s="26"/>
      <c r="D717" s="26"/>
      <c r="E717" s="26"/>
      <c r="F717" s="26"/>
      <c r="AV717" s="27"/>
      <c r="AW717" s="27"/>
      <c r="AX717" s="27"/>
      <c r="AY717" s="27"/>
      <c r="AZ717" s="27"/>
      <c r="BA717" s="27"/>
      <c r="BB717" s="26"/>
      <c r="BC717" s="27"/>
      <c r="BD717" s="26"/>
      <c r="BE717" s="27"/>
      <c r="BF717" s="26"/>
      <c r="BH717" s="26"/>
      <c r="BI717" s="26"/>
      <c r="BJ717" s="26"/>
      <c r="BK717" s="26"/>
    </row>
    <row r="718" spans="3:63" x14ac:dyDescent="0.2">
      <c r="C718" s="26"/>
      <c r="D718" s="26"/>
      <c r="E718" s="26"/>
      <c r="F718" s="26"/>
      <c r="AV718" s="27"/>
      <c r="AW718" s="27"/>
      <c r="AX718" s="27"/>
      <c r="AY718" s="27"/>
      <c r="AZ718" s="27"/>
      <c r="BA718" s="27"/>
      <c r="BB718" s="26"/>
      <c r="BC718" s="27"/>
      <c r="BD718" s="26"/>
      <c r="BE718" s="27"/>
      <c r="BF718" s="26"/>
      <c r="BH718" s="26"/>
      <c r="BI718" s="26"/>
      <c r="BJ718" s="26"/>
      <c r="BK718" s="26"/>
    </row>
    <row r="719" spans="3:63" x14ac:dyDescent="0.2">
      <c r="C719" s="26"/>
      <c r="D719" s="26"/>
      <c r="E719" s="26"/>
      <c r="F719" s="26"/>
      <c r="AV719" s="27"/>
      <c r="AW719" s="27"/>
      <c r="AX719" s="27"/>
      <c r="AY719" s="27"/>
      <c r="AZ719" s="27"/>
      <c r="BA719" s="27"/>
      <c r="BB719" s="26"/>
      <c r="BC719" s="27"/>
      <c r="BD719" s="26"/>
      <c r="BE719" s="27"/>
      <c r="BF719" s="26"/>
      <c r="BH719" s="26"/>
      <c r="BI719" s="26"/>
      <c r="BJ719" s="26"/>
      <c r="BK719" s="26"/>
    </row>
    <row r="720" spans="3:63" x14ac:dyDescent="0.2">
      <c r="C720" s="26"/>
      <c r="D720" s="26"/>
      <c r="E720" s="26"/>
      <c r="F720" s="26"/>
      <c r="AV720" s="27"/>
      <c r="AW720" s="27"/>
      <c r="AX720" s="27"/>
      <c r="AY720" s="27"/>
      <c r="AZ720" s="27"/>
      <c r="BA720" s="27"/>
      <c r="BB720" s="26"/>
      <c r="BC720" s="27"/>
      <c r="BD720" s="26"/>
      <c r="BE720" s="27"/>
      <c r="BF720" s="26"/>
      <c r="BH720" s="26"/>
      <c r="BI720" s="26"/>
      <c r="BJ720" s="26"/>
      <c r="BK720" s="26"/>
    </row>
    <row r="721" spans="3:63" x14ac:dyDescent="0.2">
      <c r="C721" s="26"/>
      <c r="D721" s="26"/>
      <c r="E721" s="26"/>
      <c r="F721" s="26"/>
      <c r="AV721" s="27"/>
      <c r="AW721" s="27"/>
      <c r="AX721" s="27"/>
      <c r="AY721" s="27"/>
      <c r="AZ721" s="27"/>
      <c r="BA721" s="27"/>
      <c r="BB721" s="26"/>
      <c r="BC721" s="27"/>
      <c r="BD721" s="26"/>
      <c r="BE721" s="27"/>
      <c r="BF721" s="26"/>
      <c r="BH721" s="26"/>
      <c r="BI721" s="26"/>
      <c r="BJ721" s="26"/>
      <c r="BK721" s="26"/>
    </row>
    <row r="722" spans="3:63" x14ac:dyDescent="0.2">
      <c r="C722" s="26"/>
      <c r="D722" s="26"/>
      <c r="E722" s="26"/>
      <c r="F722" s="26"/>
      <c r="AV722" s="27"/>
      <c r="AW722" s="27"/>
      <c r="AX722" s="27"/>
      <c r="AY722" s="27"/>
      <c r="AZ722" s="27"/>
      <c r="BA722" s="27"/>
      <c r="BB722" s="26"/>
      <c r="BC722" s="27"/>
      <c r="BD722" s="26"/>
      <c r="BE722" s="27"/>
      <c r="BF722" s="26"/>
      <c r="BH722" s="26"/>
      <c r="BI722" s="26"/>
      <c r="BJ722" s="26"/>
      <c r="BK722" s="26"/>
    </row>
    <row r="723" spans="3:63" x14ac:dyDescent="0.2">
      <c r="C723" s="26"/>
      <c r="D723" s="26"/>
      <c r="E723" s="26"/>
      <c r="F723" s="26"/>
      <c r="AV723" s="27"/>
      <c r="AW723" s="27"/>
      <c r="AX723" s="27"/>
      <c r="AY723" s="27"/>
      <c r="AZ723" s="27"/>
      <c r="BA723" s="27"/>
      <c r="BB723" s="26"/>
      <c r="BC723" s="27"/>
      <c r="BD723" s="26"/>
      <c r="BE723" s="27"/>
      <c r="BF723" s="26"/>
      <c r="BH723" s="26"/>
      <c r="BI723" s="26"/>
      <c r="BJ723" s="26"/>
      <c r="BK723" s="26"/>
    </row>
    <row r="724" spans="3:63" x14ac:dyDescent="0.2">
      <c r="C724" s="26"/>
      <c r="D724" s="26"/>
      <c r="E724" s="26"/>
      <c r="F724" s="26"/>
      <c r="AV724" s="27"/>
      <c r="AW724" s="27"/>
      <c r="AX724" s="27"/>
      <c r="AY724" s="27"/>
      <c r="AZ724" s="27"/>
      <c r="BA724" s="27"/>
      <c r="BB724" s="26"/>
      <c r="BC724" s="27"/>
      <c r="BD724" s="26"/>
      <c r="BE724" s="27"/>
      <c r="BF724" s="26"/>
      <c r="BH724" s="26"/>
      <c r="BI724" s="26"/>
      <c r="BJ724" s="26"/>
      <c r="BK724" s="26"/>
    </row>
    <row r="725" spans="3:63" x14ac:dyDescent="0.2">
      <c r="C725" s="26"/>
      <c r="D725" s="26"/>
      <c r="E725" s="26"/>
      <c r="F725" s="26"/>
      <c r="AV725" s="27"/>
      <c r="AW725" s="27"/>
      <c r="AX725" s="27"/>
      <c r="AY725" s="27"/>
      <c r="AZ725" s="27"/>
      <c r="BA725" s="27"/>
      <c r="BB725" s="26"/>
      <c r="BC725" s="27"/>
      <c r="BD725" s="26"/>
      <c r="BE725" s="27"/>
      <c r="BF725" s="26"/>
      <c r="BH725" s="26"/>
      <c r="BI725" s="26"/>
      <c r="BJ725" s="26"/>
      <c r="BK725" s="26"/>
    </row>
    <row r="726" spans="3:63" x14ac:dyDescent="0.2">
      <c r="C726" s="26"/>
      <c r="D726" s="26"/>
      <c r="E726" s="26"/>
      <c r="F726" s="26"/>
      <c r="AV726" s="27"/>
      <c r="AW726" s="27"/>
      <c r="AX726" s="27"/>
      <c r="AY726" s="27"/>
      <c r="AZ726" s="27"/>
      <c r="BA726" s="27"/>
      <c r="BB726" s="26"/>
      <c r="BC726" s="27"/>
      <c r="BD726" s="26"/>
      <c r="BE726" s="27"/>
      <c r="BF726" s="26"/>
      <c r="BH726" s="26"/>
      <c r="BI726" s="26"/>
      <c r="BJ726" s="26"/>
      <c r="BK726" s="26"/>
    </row>
    <row r="727" spans="3:63" x14ac:dyDescent="0.2">
      <c r="C727" s="26"/>
      <c r="D727" s="26"/>
      <c r="E727" s="26"/>
      <c r="F727" s="26"/>
      <c r="AV727" s="27"/>
      <c r="AW727" s="27"/>
      <c r="AX727" s="27"/>
      <c r="AY727" s="27"/>
      <c r="AZ727" s="27"/>
      <c r="BA727" s="27"/>
      <c r="BB727" s="26"/>
      <c r="BC727" s="27"/>
      <c r="BD727" s="26"/>
      <c r="BE727" s="27"/>
      <c r="BF727" s="26"/>
      <c r="BH727" s="26"/>
      <c r="BI727" s="26"/>
      <c r="BJ727" s="26"/>
      <c r="BK727" s="26"/>
    </row>
    <row r="728" spans="3:63" x14ac:dyDescent="0.2">
      <c r="C728" s="26"/>
      <c r="D728" s="26"/>
      <c r="E728" s="26"/>
      <c r="F728" s="26"/>
      <c r="AV728" s="27"/>
      <c r="AW728" s="27"/>
      <c r="AX728" s="27"/>
      <c r="AY728" s="27"/>
      <c r="AZ728" s="27"/>
      <c r="BA728" s="27"/>
      <c r="BB728" s="26"/>
      <c r="BC728" s="27"/>
      <c r="BD728" s="26"/>
      <c r="BE728" s="27"/>
      <c r="BF728" s="26"/>
      <c r="BH728" s="26"/>
      <c r="BI728" s="26"/>
      <c r="BJ728" s="26"/>
      <c r="BK728" s="26"/>
    </row>
    <row r="729" spans="3:63" x14ac:dyDescent="0.2">
      <c r="C729" s="26"/>
      <c r="D729" s="26"/>
      <c r="E729" s="26"/>
      <c r="F729" s="26"/>
      <c r="AV729" s="27"/>
      <c r="AW729" s="27"/>
      <c r="AX729" s="27"/>
      <c r="AY729" s="27"/>
      <c r="AZ729" s="27"/>
      <c r="BA729" s="27"/>
      <c r="BB729" s="26"/>
      <c r="BC729" s="27"/>
      <c r="BD729" s="26"/>
      <c r="BE729" s="27"/>
      <c r="BF729" s="26"/>
      <c r="BH729" s="26"/>
      <c r="BI729" s="26"/>
      <c r="BJ729" s="26"/>
      <c r="BK729" s="26"/>
    </row>
    <row r="730" spans="3:63" x14ac:dyDescent="0.2">
      <c r="C730" s="26"/>
      <c r="D730" s="26"/>
      <c r="E730" s="26"/>
      <c r="F730" s="26"/>
      <c r="AV730" s="27"/>
      <c r="AW730" s="27"/>
      <c r="AX730" s="27"/>
      <c r="AY730" s="27"/>
      <c r="AZ730" s="27"/>
      <c r="BA730" s="27"/>
      <c r="BB730" s="26"/>
      <c r="BC730" s="27"/>
      <c r="BD730" s="26"/>
      <c r="BE730" s="27"/>
      <c r="BF730" s="26"/>
      <c r="BH730" s="26"/>
      <c r="BI730" s="26"/>
      <c r="BJ730" s="26"/>
      <c r="BK730" s="26"/>
    </row>
    <row r="731" spans="3:63" x14ac:dyDescent="0.2">
      <c r="C731" s="26"/>
      <c r="D731" s="26"/>
      <c r="E731" s="26"/>
      <c r="F731" s="26"/>
      <c r="AV731" s="27"/>
      <c r="AW731" s="27"/>
      <c r="AX731" s="27"/>
      <c r="AY731" s="27"/>
      <c r="AZ731" s="27"/>
      <c r="BA731" s="27"/>
      <c r="BB731" s="26"/>
      <c r="BC731" s="27"/>
      <c r="BD731" s="26"/>
      <c r="BE731" s="27"/>
      <c r="BF731" s="26"/>
      <c r="BH731" s="26"/>
      <c r="BI731" s="26"/>
      <c r="BJ731" s="26"/>
      <c r="BK731" s="26"/>
    </row>
    <row r="732" spans="3:63" x14ac:dyDescent="0.2">
      <c r="C732" s="26"/>
      <c r="D732" s="26"/>
      <c r="E732" s="26"/>
      <c r="F732" s="26"/>
      <c r="AV732" s="27"/>
      <c r="AW732" s="27"/>
      <c r="AX732" s="27"/>
      <c r="AY732" s="27"/>
      <c r="AZ732" s="27"/>
      <c r="BA732" s="27"/>
      <c r="BB732" s="26"/>
      <c r="BC732" s="27"/>
      <c r="BD732" s="26"/>
      <c r="BE732" s="27"/>
      <c r="BF732" s="26"/>
      <c r="BH732" s="26"/>
      <c r="BI732" s="26"/>
      <c r="BJ732" s="26"/>
      <c r="BK732" s="26"/>
    </row>
    <row r="733" spans="3:63" x14ac:dyDescent="0.2">
      <c r="C733" s="26"/>
      <c r="D733" s="26"/>
      <c r="E733" s="26"/>
      <c r="F733" s="26"/>
      <c r="AV733" s="27"/>
      <c r="AW733" s="27"/>
      <c r="AX733" s="27"/>
      <c r="AY733" s="27"/>
      <c r="AZ733" s="27"/>
      <c r="BA733" s="27"/>
      <c r="BB733" s="26"/>
      <c r="BC733" s="27"/>
      <c r="BD733" s="26"/>
      <c r="BE733" s="27"/>
      <c r="BF733" s="26"/>
      <c r="BH733" s="26"/>
      <c r="BI733" s="26"/>
      <c r="BJ733" s="26"/>
      <c r="BK733" s="26"/>
    </row>
    <row r="734" spans="3:63" x14ac:dyDescent="0.2">
      <c r="C734" s="26"/>
      <c r="D734" s="26"/>
      <c r="E734" s="26"/>
      <c r="F734" s="26"/>
      <c r="AV734" s="27"/>
      <c r="AW734" s="27"/>
      <c r="AX734" s="27"/>
      <c r="AY734" s="27"/>
      <c r="AZ734" s="27"/>
      <c r="BA734" s="27"/>
      <c r="BB734" s="26"/>
      <c r="BC734" s="27"/>
      <c r="BD734" s="26"/>
      <c r="BE734" s="27"/>
      <c r="BF734" s="26"/>
      <c r="BH734" s="26"/>
      <c r="BI734" s="26"/>
      <c r="BJ734" s="26"/>
      <c r="BK734" s="26"/>
    </row>
    <row r="735" spans="3:63" x14ac:dyDescent="0.2">
      <c r="C735" s="26"/>
      <c r="D735" s="26"/>
      <c r="E735" s="26"/>
      <c r="F735" s="26"/>
      <c r="AV735" s="27"/>
      <c r="AW735" s="27"/>
      <c r="AX735" s="27"/>
      <c r="AY735" s="27"/>
      <c r="AZ735" s="27"/>
      <c r="BA735" s="27"/>
      <c r="BB735" s="26"/>
      <c r="BC735" s="27"/>
      <c r="BD735" s="26"/>
      <c r="BE735" s="27"/>
      <c r="BF735" s="26"/>
      <c r="BH735" s="26"/>
      <c r="BI735" s="26"/>
      <c r="BJ735" s="26"/>
      <c r="BK735" s="26"/>
    </row>
    <row r="736" spans="3:63" x14ac:dyDescent="0.2">
      <c r="C736" s="26"/>
      <c r="D736" s="26"/>
      <c r="E736" s="26"/>
      <c r="F736" s="26"/>
      <c r="AV736" s="27"/>
      <c r="AW736" s="27"/>
      <c r="AX736" s="27"/>
      <c r="AY736" s="27"/>
      <c r="AZ736" s="27"/>
      <c r="BA736" s="27"/>
      <c r="BB736" s="26"/>
      <c r="BC736" s="27"/>
      <c r="BD736" s="26"/>
      <c r="BE736" s="27"/>
      <c r="BF736" s="26"/>
      <c r="BH736" s="26"/>
      <c r="BI736" s="26"/>
      <c r="BJ736" s="26"/>
      <c r="BK736" s="26"/>
    </row>
    <row r="737" spans="3:63" x14ac:dyDescent="0.2">
      <c r="C737" s="26"/>
      <c r="D737" s="26"/>
      <c r="E737" s="26"/>
      <c r="F737" s="26"/>
      <c r="AV737" s="27"/>
      <c r="AW737" s="27"/>
      <c r="AX737" s="27"/>
      <c r="AY737" s="27"/>
      <c r="AZ737" s="27"/>
      <c r="BA737" s="27"/>
      <c r="BB737" s="26"/>
      <c r="BC737" s="27"/>
      <c r="BD737" s="26"/>
      <c r="BE737" s="27"/>
      <c r="BF737" s="26"/>
      <c r="BH737" s="26"/>
      <c r="BI737" s="26"/>
      <c r="BJ737" s="26"/>
      <c r="BK737" s="26"/>
    </row>
    <row r="738" spans="3:63" x14ac:dyDescent="0.2">
      <c r="C738" s="26"/>
      <c r="D738" s="26"/>
      <c r="E738" s="26"/>
      <c r="F738" s="26"/>
      <c r="AV738" s="27"/>
      <c r="AW738" s="27"/>
      <c r="AX738" s="27"/>
      <c r="AY738" s="27"/>
      <c r="AZ738" s="27"/>
      <c r="BA738" s="27"/>
      <c r="BB738" s="26"/>
      <c r="BC738" s="27"/>
      <c r="BD738" s="26"/>
      <c r="BE738" s="27"/>
      <c r="BF738" s="26"/>
      <c r="BH738" s="26"/>
      <c r="BI738" s="26"/>
      <c r="BJ738" s="26"/>
      <c r="BK738" s="26"/>
    </row>
    <row r="739" spans="3:63" x14ac:dyDescent="0.2">
      <c r="C739" s="26"/>
      <c r="D739" s="26"/>
      <c r="E739" s="26"/>
      <c r="F739" s="26"/>
      <c r="AV739" s="27"/>
      <c r="AW739" s="27"/>
      <c r="AX739" s="27"/>
      <c r="AY739" s="27"/>
      <c r="AZ739" s="27"/>
      <c r="BA739" s="27"/>
      <c r="BB739" s="26"/>
      <c r="BC739" s="27"/>
      <c r="BD739" s="26"/>
      <c r="BE739" s="27"/>
      <c r="BF739" s="26"/>
      <c r="BH739" s="26"/>
      <c r="BI739" s="26"/>
      <c r="BJ739" s="26"/>
      <c r="BK739" s="26"/>
    </row>
    <row r="740" spans="3:63" x14ac:dyDescent="0.2">
      <c r="C740" s="26"/>
      <c r="D740" s="26"/>
      <c r="E740" s="26"/>
      <c r="F740" s="26"/>
      <c r="AV740" s="27"/>
      <c r="AW740" s="27"/>
      <c r="AX740" s="27"/>
      <c r="AY740" s="27"/>
      <c r="AZ740" s="27"/>
      <c r="BA740" s="27"/>
      <c r="BB740" s="26"/>
      <c r="BC740" s="27"/>
      <c r="BD740" s="26"/>
      <c r="BE740" s="27"/>
      <c r="BF740" s="26"/>
      <c r="BH740" s="26"/>
      <c r="BI740" s="26"/>
      <c r="BJ740" s="26"/>
      <c r="BK740" s="26"/>
    </row>
    <row r="741" spans="3:63" x14ac:dyDescent="0.2">
      <c r="C741" s="26"/>
      <c r="D741" s="26"/>
      <c r="E741" s="26"/>
      <c r="F741" s="26"/>
      <c r="AV741" s="27"/>
      <c r="AW741" s="27"/>
      <c r="AX741" s="27"/>
      <c r="AY741" s="27"/>
      <c r="AZ741" s="27"/>
      <c r="BA741" s="27"/>
      <c r="BB741" s="26"/>
      <c r="BC741" s="27"/>
      <c r="BD741" s="26"/>
      <c r="BE741" s="27"/>
      <c r="BF741" s="26"/>
      <c r="BH741" s="26"/>
      <c r="BI741" s="26"/>
      <c r="BJ741" s="26"/>
      <c r="BK741" s="26"/>
    </row>
    <row r="742" spans="3:63" x14ac:dyDescent="0.2">
      <c r="C742" s="26"/>
      <c r="D742" s="26"/>
      <c r="E742" s="26"/>
      <c r="F742" s="26"/>
      <c r="AV742" s="27"/>
      <c r="AW742" s="27"/>
      <c r="AX742" s="27"/>
      <c r="AY742" s="27"/>
      <c r="AZ742" s="27"/>
      <c r="BA742" s="27"/>
      <c r="BB742" s="26"/>
      <c r="BC742" s="27"/>
      <c r="BD742" s="26"/>
      <c r="BE742" s="27"/>
      <c r="BF742" s="26"/>
      <c r="BH742" s="26"/>
      <c r="BI742" s="26"/>
      <c r="BJ742" s="26"/>
      <c r="BK742" s="26"/>
    </row>
    <row r="743" spans="3:63" x14ac:dyDescent="0.2">
      <c r="C743" s="26"/>
      <c r="D743" s="26"/>
      <c r="E743" s="26"/>
      <c r="F743" s="26"/>
      <c r="AV743" s="27"/>
      <c r="AW743" s="27"/>
      <c r="AX743" s="27"/>
      <c r="AY743" s="27"/>
      <c r="AZ743" s="27"/>
      <c r="BA743" s="27"/>
      <c r="BB743" s="26"/>
      <c r="BC743" s="27"/>
      <c r="BD743" s="26"/>
      <c r="BE743" s="27"/>
      <c r="BF743" s="26"/>
      <c r="BH743" s="26"/>
      <c r="BI743" s="26"/>
      <c r="BJ743" s="26"/>
      <c r="BK743" s="26"/>
    </row>
    <row r="744" spans="3:63" x14ac:dyDescent="0.2">
      <c r="C744" s="26"/>
      <c r="D744" s="26"/>
      <c r="E744" s="26"/>
      <c r="F744" s="26"/>
      <c r="AV744" s="27"/>
      <c r="AW744" s="27"/>
      <c r="AX744" s="27"/>
      <c r="AY744" s="27"/>
      <c r="AZ744" s="27"/>
      <c r="BA744" s="27"/>
      <c r="BB744" s="26"/>
      <c r="BC744" s="27"/>
      <c r="BD744" s="26"/>
      <c r="BE744" s="27"/>
      <c r="BF744" s="26"/>
      <c r="BH744" s="26"/>
      <c r="BI744" s="26"/>
      <c r="BJ744" s="26"/>
      <c r="BK744" s="26"/>
    </row>
    <row r="745" spans="3:63" x14ac:dyDescent="0.2">
      <c r="C745" s="26"/>
      <c r="D745" s="26"/>
      <c r="E745" s="26"/>
      <c r="F745" s="26"/>
      <c r="AV745" s="27"/>
      <c r="AW745" s="27"/>
      <c r="AX745" s="27"/>
      <c r="AY745" s="27"/>
      <c r="AZ745" s="27"/>
      <c r="BA745" s="27"/>
      <c r="BB745" s="26"/>
      <c r="BC745" s="27"/>
      <c r="BD745" s="26"/>
      <c r="BE745" s="27"/>
      <c r="BF745" s="26"/>
      <c r="BH745" s="26"/>
      <c r="BI745" s="26"/>
      <c r="BJ745" s="26"/>
      <c r="BK745" s="26"/>
    </row>
    <row r="746" spans="3:63" x14ac:dyDescent="0.2">
      <c r="C746" s="26"/>
      <c r="D746" s="26"/>
      <c r="E746" s="26"/>
      <c r="F746" s="26"/>
      <c r="AV746" s="27"/>
      <c r="AW746" s="27"/>
      <c r="AX746" s="27"/>
      <c r="AY746" s="27"/>
      <c r="AZ746" s="27"/>
      <c r="BA746" s="27"/>
      <c r="BB746" s="26"/>
      <c r="BC746" s="27"/>
      <c r="BD746" s="26"/>
      <c r="BE746" s="27"/>
      <c r="BF746" s="26"/>
      <c r="BH746" s="26"/>
      <c r="BI746" s="26"/>
      <c r="BJ746" s="26"/>
      <c r="BK746" s="26"/>
    </row>
    <row r="747" spans="3:63" x14ac:dyDescent="0.2">
      <c r="C747" s="26"/>
      <c r="D747" s="26"/>
      <c r="E747" s="26"/>
      <c r="F747" s="26"/>
      <c r="AV747" s="27"/>
      <c r="AW747" s="27"/>
      <c r="AX747" s="27"/>
      <c r="AY747" s="27"/>
      <c r="AZ747" s="27"/>
      <c r="BA747" s="27"/>
      <c r="BB747" s="26"/>
      <c r="BC747" s="27"/>
      <c r="BD747" s="26"/>
      <c r="BE747" s="27"/>
      <c r="BF747" s="26"/>
      <c r="BH747" s="26"/>
      <c r="BI747" s="26"/>
      <c r="BJ747" s="26"/>
      <c r="BK747" s="26"/>
    </row>
    <row r="748" spans="3:63" x14ac:dyDescent="0.2">
      <c r="C748" s="26"/>
      <c r="D748" s="26"/>
      <c r="E748" s="26"/>
      <c r="F748" s="26"/>
      <c r="AV748" s="27"/>
      <c r="AW748" s="27"/>
      <c r="AX748" s="27"/>
      <c r="AY748" s="27"/>
      <c r="AZ748" s="27"/>
      <c r="BA748" s="27"/>
      <c r="BB748" s="26"/>
      <c r="BC748" s="27"/>
      <c r="BD748" s="26"/>
      <c r="BE748" s="27"/>
      <c r="BF748" s="26"/>
      <c r="BH748" s="26"/>
      <c r="BI748" s="26"/>
      <c r="BJ748" s="26"/>
      <c r="BK748" s="26"/>
    </row>
    <row r="749" spans="3:63" x14ac:dyDescent="0.2">
      <c r="C749" s="26"/>
      <c r="D749" s="26"/>
      <c r="E749" s="26"/>
      <c r="F749" s="26"/>
      <c r="AV749" s="27"/>
      <c r="AW749" s="27"/>
      <c r="AX749" s="27"/>
      <c r="AY749" s="27"/>
      <c r="AZ749" s="27"/>
      <c r="BA749" s="27"/>
      <c r="BB749" s="26"/>
      <c r="BC749" s="27"/>
      <c r="BD749" s="26"/>
      <c r="BE749" s="27"/>
      <c r="BF749" s="26"/>
      <c r="BH749" s="26"/>
      <c r="BI749" s="26"/>
      <c r="BJ749" s="26"/>
      <c r="BK749" s="26"/>
    </row>
    <row r="750" spans="3:63" x14ac:dyDescent="0.2">
      <c r="C750" s="26"/>
      <c r="D750" s="26"/>
      <c r="E750" s="26"/>
      <c r="F750" s="26"/>
      <c r="AV750" s="27"/>
      <c r="AW750" s="27"/>
      <c r="AX750" s="27"/>
      <c r="AY750" s="27"/>
      <c r="AZ750" s="27"/>
      <c r="BA750" s="27"/>
      <c r="BB750" s="26"/>
      <c r="BC750" s="27"/>
      <c r="BD750" s="26"/>
      <c r="BE750" s="27"/>
      <c r="BF750" s="26"/>
      <c r="BH750" s="26"/>
      <c r="BI750" s="26"/>
      <c r="BJ750" s="26"/>
      <c r="BK750" s="26"/>
    </row>
    <row r="751" spans="3:63" x14ac:dyDescent="0.2">
      <c r="C751" s="26"/>
      <c r="D751" s="26"/>
      <c r="E751" s="26"/>
      <c r="F751" s="26"/>
      <c r="AV751" s="27"/>
      <c r="AW751" s="27"/>
      <c r="AX751" s="27"/>
      <c r="AY751" s="27"/>
      <c r="AZ751" s="27"/>
      <c r="BA751" s="27"/>
      <c r="BB751" s="26"/>
      <c r="BC751" s="27"/>
      <c r="BD751" s="26"/>
      <c r="BE751" s="27"/>
      <c r="BF751" s="26"/>
      <c r="BH751" s="26"/>
      <c r="BI751" s="26"/>
      <c r="BJ751" s="26"/>
      <c r="BK751" s="26"/>
    </row>
    <row r="752" spans="3:63" x14ac:dyDescent="0.2">
      <c r="C752" s="26"/>
      <c r="D752" s="26"/>
      <c r="E752" s="26"/>
      <c r="F752" s="26"/>
      <c r="AV752" s="27"/>
      <c r="AW752" s="27"/>
      <c r="AX752" s="27"/>
      <c r="AY752" s="27"/>
      <c r="AZ752" s="27"/>
      <c r="BA752" s="27"/>
      <c r="BB752" s="26"/>
      <c r="BC752" s="27"/>
      <c r="BD752" s="26"/>
      <c r="BE752" s="27"/>
      <c r="BF752" s="26"/>
      <c r="BH752" s="26"/>
      <c r="BI752" s="26"/>
      <c r="BJ752" s="26"/>
      <c r="BK752" s="26"/>
    </row>
    <row r="753" spans="3:63" x14ac:dyDescent="0.2">
      <c r="C753" s="26"/>
      <c r="D753" s="26"/>
      <c r="E753" s="26"/>
      <c r="F753" s="26"/>
      <c r="AV753" s="27"/>
      <c r="AW753" s="27"/>
      <c r="AX753" s="27"/>
      <c r="AY753" s="27"/>
      <c r="AZ753" s="27"/>
      <c r="BA753" s="27"/>
      <c r="BB753" s="26"/>
      <c r="BC753" s="27"/>
      <c r="BD753" s="26"/>
      <c r="BE753" s="27"/>
      <c r="BF753" s="26"/>
      <c r="BH753" s="26"/>
      <c r="BI753" s="26"/>
      <c r="BJ753" s="26"/>
      <c r="BK753" s="26"/>
    </row>
    <row r="754" spans="3:63" x14ac:dyDescent="0.2">
      <c r="C754" s="26"/>
      <c r="D754" s="26"/>
      <c r="E754" s="26"/>
      <c r="F754" s="26"/>
      <c r="AV754" s="27"/>
      <c r="AW754" s="27"/>
      <c r="AX754" s="27"/>
      <c r="AY754" s="27"/>
      <c r="AZ754" s="27"/>
      <c r="BA754" s="27"/>
      <c r="BB754" s="26"/>
      <c r="BC754" s="27"/>
      <c r="BD754" s="26"/>
      <c r="BE754" s="27"/>
      <c r="BF754" s="26"/>
      <c r="BH754" s="26"/>
      <c r="BI754" s="26"/>
      <c r="BJ754" s="26"/>
      <c r="BK754" s="26"/>
    </row>
    <row r="755" spans="3:63" x14ac:dyDescent="0.2">
      <c r="C755" s="26"/>
      <c r="D755" s="26"/>
      <c r="E755" s="26"/>
      <c r="F755" s="26"/>
      <c r="AV755" s="27"/>
      <c r="AW755" s="27"/>
      <c r="AX755" s="27"/>
      <c r="AY755" s="27"/>
      <c r="AZ755" s="27"/>
      <c r="BA755" s="27"/>
      <c r="BB755" s="26"/>
      <c r="BC755" s="27"/>
      <c r="BD755" s="26"/>
      <c r="BE755" s="27"/>
      <c r="BF755" s="26"/>
      <c r="BH755" s="26"/>
      <c r="BI755" s="26"/>
      <c r="BJ755" s="26"/>
      <c r="BK755" s="26"/>
    </row>
    <row r="756" spans="3:63" x14ac:dyDescent="0.2">
      <c r="C756" s="26"/>
      <c r="D756" s="26"/>
      <c r="E756" s="26"/>
      <c r="F756" s="26"/>
      <c r="AV756" s="27"/>
      <c r="AW756" s="27"/>
      <c r="AX756" s="27"/>
      <c r="AY756" s="27"/>
      <c r="AZ756" s="27"/>
      <c r="BA756" s="27"/>
      <c r="BB756" s="26"/>
      <c r="BC756" s="27"/>
      <c r="BD756" s="26"/>
      <c r="BE756" s="27"/>
      <c r="BF756" s="26"/>
      <c r="BH756" s="26"/>
      <c r="BI756" s="26"/>
      <c r="BJ756" s="26"/>
      <c r="BK756" s="26"/>
    </row>
    <row r="757" spans="3:63" x14ac:dyDescent="0.2">
      <c r="C757" s="26"/>
      <c r="D757" s="26"/>
      <c r="E757" s="26"/>
      <c r="F757" s="26"/>
      <c r="AV757" s="27"/>
      <c r="AW757" s="27"/>
      <c r="AX757" s="27"/>
      <c r="AY757" s="27"/>
      <c r="AZ757" s="27"/>
      <c r="BA757" s="27"/>
      <c r="BB757" s="26"/>
      <c r="BC757" s="27"/>
      <c r="BD757" s="26"/>
      <c r="BE757" s="27"/>
      <c r="BF757" s="26"/>
      <c r="BH757" s="26"/>
      <c r="BI757" s="26"/>
      <c r="BJ757" s="26"/>
      <c r="BK757" s="26"/>
    </row>
    <row r="758" spans="3:63" x14ac:dyDescent="0.2">
      <c r="C758" s="26"/>
      <c r="D758" s="26"/>
      <c r="E758" s="26"/>
      <c r="F758" s="26"/>
      <c r="AV758" s="27"/>
      <c r="AW758" s="27"/>
      <c r="AX758" s="27"/>
      <c r="AY758" s="27"/>
      <c r="AZ758" s="27"/>
      <c r="BA758" s="27"/>
      <c r="BB758" s="26"/>
      <c r="BC758" s="27"/>
      <c r="BD758" s="26"/>
      <c r="BE758" s="27"/>
      <c r="BF758" s="26"/>
      <c r="BH758" s="26"/>
      <c r="BI758" s="26"/>
      <c r="BJ758" s="26"/>
      <c r="BK758" s="26"/>
    </row>
    <row r="759" spans="3:63" x14ac:dyDescent="0.2">
      <c r="C759" s="26"/>
      <c r="D759" s="26"/>
      <c r="E759" s="26"/>
      <c r="F759" s="26"/>
      <c r="AV759" s="27"/>
      <c r="AW759" s="27"/>
      <c r="AX759" s="27"/>
      <c r="AY759" s="27"/>
      <c r="AZ759" s="27"/>
      <c r="BA759" s="27"/>
      <c r="BB759" s="26"/>
      <c r="BC759" s="27"/>
      <c r="BD759" s="26"/>
      <c r="BE759" s="27"/>
      <c r="BF759" s="26"/>
      <c r="BH759" s="26"/>
      <c r="BI759" s="26"/>
      <c r="BJ759" s="26"/>
      <c r="BK759" s="26"/>
    </row>
    <row r="760" spans="3:63" x14ac:dyDescent="0.2">
      <c r="C760" s="26"/>
      <c r="D760" s="26"/>
      <c r="E760" s="26"/>
      <c r="F760" s="26"/>
      <c r="AV760" s="27"/>
      <c r="AW760" s="27"/>
      <c r="AX760" s="27"/>
      <c r="AY760" s="27"/>
      <c r="AZ760" s="27"/>
      <c r="BA760" s="27"/>
      <c r="BB760" s="26"/>
      <c r="BC760" s="27"/>
      <c r="BD760" s="26"/>
      <c r="BE760" s="27"/>
      <c r="BF760" s="26"/>
      <c r="BH760" s="26"/>
      <c r="BI760" s="26"/>
      <c r="BJ760" s="26"/>
      <c r="BK760" s="26"/>
    </row>
    <row r="761" spans="3:63" x14ac:dyDescent="0.2">
      <c r="C761" s="26"/>
      <c r="D761" s="26"/>
      <c r="E761" s="26"/>
      <c r="F761" s="26"/>
      <c r="AV761" s="27"/>
      <c r="AW761" s="27"/>
      <c r="AX761" s="27"/>
      <c r="AY761" s="27"/>
      <c r="AZ761" s="27"/>
      <c r="BA761" s="27"/>
      <c r="BB761" s="26"/>
      <c r="BC761" s="27"/>
      <c r="BD761" s="26"/>
      <c r="BE761" s="27"/>
      <c r="BF761" s="26"/>
      <c r="BH761" s="26"/>
      <c r="BI761" s="26"/>
      <c r="BJ761" s="26"/>
      <c r="BK761" s="26"/>
    </row>
    <row r="762" spans="3:63" x14ac:dyDescent="0.2">
      <c r="C762" s="26"/>
      <c r="D762" s="26"/>
      <c r="E762" s="26"/>
      <c r="F762" s="26"/>
      <c r="AV762" s="27"/>
      <c r="AW762" s="27"/>
      <c r="AX762" s="27"/>
      <c r="AY762" s="27"/>
      <c r="AZ762" s="27"/>
      <c r="BA762" s="27"/>
      <c r="BB762" s="26"/>
      <c r="BC762" s="27"/>
      <c r="BD762" s="26"/>
      <c r="BE762" s="27"/>
      <c r="BF762" s="26"/>
      <c r="BH762" s="26"/>
      <c r="BI762" s="26"/>
      <c r="BJ762" s="26"/>
      <c r="BK762" s="26"/>
    </row>
    <row r="763" spans="3:63" x14ac:dyDescent="0.2">
      <c r="C763" s="26"/>
      <c r="D763" s="26"/>
      <c r="E763" s="26"/>
      <c r="F763" s="26"/>
      <c r="AV763" s="27"/>
      <c r="AW763" s="27"/>
      <c r="AX763" s="27"/>
      <c r="AY763" s="27"/>
      <c r="AZ763" s="27"/>
      <c r="BA763" s="27"/>
      <c r="BB763" s="26"/>
      <c r="BC763" s="27"/>
      <c r="BD763" s="26"/>
      <c r="BE763" s="27"/>
      <c r="BF763" s="26"/>
      <c r="BH763" s="26"/>
      <c r="BI763" s="26"/>
      <c r="BJ763" s="26"/>
      <c r="BK763" s="26"/>
    </row>
    <row r="764" spans="3:63" x14ac:dyDescent="0.2">
      <c r="C764" s="26"/>
      <c r="D764" s="26"/>
      <c r="E764" s="26"/>
      <c r="F764" s="26"/>
      <c r="AV764" s="27"/>
      <c r="AW764" s="27"/>
      <c r="AX764" s="27"/>
      <c r="AY764" s="27"/>
      <c r="AZ764" s="27"/>
      <c r="BA764" s="27"/>
      <c r="BB764" s="26"/>
      <c r="BC764" s="27"/>
      <c r="BD764" s="26"/>
      <c r="BE764" s="27"/>
      <c r="BF764" s="26"/>
      <c r="BH764" s="26"/>
      <c r="BI764" s="26"/>
      <c r="BJ764" s="26"/>
      <c r="BK764" s="26"/>
    </row>
    <row r="765" spans="3:63" x14ac:dyDescent="0.2">
      <c r="C765" s="26"/>
      <c r="D765" s="26"/>
      <c r="E765" s="26"/>
      <c r="F765" s="26"/>
      <c r="AV765" s="27"/>
      <c r="AW765" s="27"/>
      <c r="AX765" s="27"/>
      <c r="AY765" s="27"/>
      <c r="AZ765" s="27"/>
      <c r="BA765" s="27"/>
      <c r="BB765" s="26"/>
      <c r="BC765" s="27"/>
      <c r="BD765" s="26"/>
      <c r="BE765" s="27"/>
      <c r="BF765" s="26"/>
      <c r="BH765" s="26"/>
      <c r="BI765" s="26"/>
      <c r="BJ765" s="26"/>
      <c r="BK765" s="26"/>
    </row>
    <row r="766" spans="3:63" x14ac:dyDescent="0.2">
      <c r="C766" s="26"/>
      <c r="D766" s="26"/>
      <c r="E766" s="26"/>
      <c r="F766" s="26"/>
      <c r="AV766" s="27"/>
      <c r="AW766" s="27"/>
      <c r="AX766" s="27"/>
      <c r="AY766" s="27"/>
      <c r="AZ766" s="27"/>
      <c r="BA766" s="27"/>
      <c r="BB766" s="26"/>
      <c r="BC766" s="27"/>
      <c r="BD766" s="26"/>
      <c r="BE766" s="27"/>
      <c r="BF766" s="26"/>
      <c r="BH766" s="26"/>
      <c r="BI766" s="26"/>
      <c r="BJ766" s="26"/>
      <c r="BK766" s="26"/>
    </row>
    <row r="767" spans="3:63" x14ac:dyDescent="0.2">
      <c r="C767" s="26"/>
      <c r="D767" s="26"/>
      <c r="E767" s="26"/>
      <c r="F767" s="26"/>
      <c r="AV767" s="27"/>
      <c r="AW767" s="27"/>
      <c r="AX767" s="27"/>
      <c r="AY767" s="27"/>
      <c r="AZ767" s="27"/>
      <c r="BA767" s="27"/>
      <c r="BB767" s="26"/>
      <c r="BC767" s="27"/>
      <c r="BD767" s="26"/>
      <c r="BE767" s="27"/>
      <c r="BF767" s="26"/>
      <c r="BH767" s="26"/>
      <c r="BI767" s="26"/>
      <c r="BJ767" s="26"/>
      <c r="BK767" s="26"/>
    </row>
    <row r="768" spans="3:63" x14ac:dyDescent="0.2">
      <c r="C768" s="26"/>
      <c r="D768" s="26"/>
      <c r="E768" s="26"/>
      <c r="F768" s="26"/>
      <c r="AV768" s="27"/>
      <c r="AW768" s="27"/>
      <c r="AX768" s="27"/>
      <c r="AY768" s="27"/>
      <c r="AZ768" s="27"/>
      <c r="BA768" s="27"/>
      <c r="BB768" s="26"/>
      <c r="BC768" s="27"/>
      <c r="BD768" s="26"/>
      <c r="BE768" s="27"/>
      <c r="BF768" s="26"/>
      <c r="BH768" s="26"/>
      <c r="BI768" s="26"/>
      <c r="BJ768" s="26"/>
      <c r="BK768" s="26"/>
    </row>
    <row r="769" spans="3:63" x14ac:dyDescent="0.2">
      <c r="C769" s="26"/>
      <c r="D769" s="26"/>
      <c r="E769" s="26"/>
      <c r="F769" s="26"/>
      <c r="AV769" s="27"/>
      <c r="AW769" s="27"/>
      <c r="AX769" s="27"/>
      <c r="AY769" s="27"/>
      <c r="AZ769" s="27"/>
      <c r="BA769" s="27"/>
      <c r="BB769" s="26"/>
      <c r="BC769" s="27"/>
      <c r="BD769" s="26"/>
      <c r="BE769" s="27"/>
      <c r="BF769" s="26"/>
      <c r="BH769" s="26"/>
      <c r="BI769" s="26"/>
      <c r="BJ769" s="26"/>
      <c r="BK769" s="26"/>
    </row>
    <row r="770" spans="3:63" x14ac:dyDescent="0.2">
      <c r="C770" s="26"/>
      <c r="D770" s="26"/>
      <c r="E770" s="26"/>
      <c r="F770" s="26"/>
      <c r="AV770" s="27"/>
      <c r="AW770" s="27"/>
      <c r="AX770" s="27"/>
      <c r="AY770" s="27"/>
      <c r="AZ770" s="27"/>
      <c r="BA770" s="27"/>
      <c r="BB770" s="26"/>
      <c r="BC770" s="27"/>
      <c r="BD770" s="26"/>
      <c r="BE770" s="27"/>
      <c r="BF770" s="26"/>
      <c r="BH770" s="26"/>
      <c r="BI770" s="26"/>
      <c r="BJ770" s="26"/>
      <c r="BK770" s="26"/>
    </row>
    <row r="771" spans="3:63" x14ac:dyDescent="0.2">
      <c r="C771" s="26"/>
      <c r="D771" s="26"/>
      <c r="E771" s="26"/>
      <c r="F771" s="26"/>
      <c r="AV771" s="27"/>
      <c r="AW771" s="27"/>
      <c r="AX771" s="27"/>
      <c r="AY771" s="27"/>
      <c r="AZ771" s="27"/>
      <c r="BA771" s="27"/>
      <c r="BB771" s="26"/>
      <c r="BC771" s="27"/>
      <c r="BD771" s="26"/>
      <c r="BE771" s="27"/>
      <c r="BF771" s="26"/>
      <c r="BH771" s="26"/>
      <c r="BI771" s="26"/>
      <c r="BJ771" s="26"/>
      <c r="BK771" s="26"/>
    </row>
    <row r="772" spans="3:63" x14ac:dyDescent="0.2">
      <c r="C772" s="26"/>
      <c r="D772" s="26"/>
      <c r="E772" s="26"/>
      <c r="F772" s="26"/>
      <c r="AV772" s="27"/>
      <c r="AW772" s="27"/>
      <c r="AX772" s="27"/>
      <c r="AY772" s="27"/>
      <c r="AZ772" s="27"/>
      <c r="BA772" s="27"/>
      <c r="BB772" s="26"/>
      <c r="BC772" s="27"/>
      <c r="BD772" s="26"/>
      <c r="BE772" s="27"/>
      <c r="BF772" s="26"/>
      <c r="BH772" s="26"/>
      <c r="BI772" s="26"/>
      <c r="BJ772" s="26"/>
      <c r="BK772" s="26"/>
    </row>
    <row r="773" spans="3:63" x14ac:dyDescent="0.2">
      <c r="C773" s="26"/>
      <c r="D773" s="26"/>
      <c r="E773" s="26"/>
      <c r="F773" s="26"/>
      <c r="AV773" s="27"/>
      <c r="AW773" s="27"/>
      <c r="AX773" s="27"/>
      <c r="AY773" s="27"/>
      <c r="AZ773" s="27"/>
      <c r="BA773" s="27"/>
      <c r="BB773" s="26"/>
      <c r="BC773" s="27"/>
      <c r="BD773" s="26"/>
      <c r="BE773" s="27"/>
      <c r="BF773" s="26"/>
      <c r="BH773" s="26"/>
      <c r="BI773" s="26"/>
      <c r="BJ773" s="26"/>
      <c r="BK773" s="26"/>
    </row>
    <row r="774" spans="3:63" x14ac:dyDescent="0.2">
      <c r="C774" s="26"/>
      <c r="D774" s="26"/>
      <c r="E774" s="26"/>
      <c r="F774" s="26"/>
      <c r="AV774" s="27"/>
      <c r="AW774" s="27"/>
      <c r="AX774" s="27"/>
      <c r="AY774" s="27"/>
      <c r="AZ774" s="27"/>
      <c r="BA774" s="27"/>
      <c r="BB774" s="26"/>
      <c r="BC774" s="27"/>
      <c r="BD774" s="26"/>
      <c r="BE774" s="27"/>
      <c r="BF774" s="26"/>
      <c r="BH774" s="26"/>
      <c r="BI774" s="26"/>
      <c r="BJ774" s="26"/>
      <c r="BK774" s="26"/>
    </row>
    <row r="775" spans="3:63" x14ac:dyDescent="0.2">
      <c r="C775" s="26"/>
      <c r="D775" s="26"/>
      <c r="E775" s="26"/>
      <c r="F775" s="26"/>
      <c r="AV775" s="27"/>
      <c r="AW775" s="27"/>
      <c r="AX775" s="27"/>
      <c r="AY775" s="27"/>
      <c r="AZ775" s="27"/>
      <c r="BA775" s="27"/>
      <c r="BB775" s="26"/>
      <c r="BC775" s="27"/>
      <c r="BD775" s="26"/>
      <c r="BE775" s="27"/>
      <c r="BF775" s="26"/>
      <c r="BH775" s="26"/>
      <c r="BI775" s="26"/>
      <c r="BJ775" s="26"/>
      <c r="BK775" s="26"/>
    </row>
    <row r="776" spans="3:63" x14ac:dyDescent="0.2">
      <c r="C776" s="26"/>
      <c r="D776" s="26"/>
      <c r="E776" s="26"/>
      <c r="F776" s="26"/>
      <c r="AV776" s="27"/>
      <c r="AW776" s="27"/>
      <c r="AX776" s="27"/>
      <c r="AY776" s="27"/>
      <c r="AZ776" s="27"/>
      <c r="BA776" s="27"/>
      <c r="BB776" s="26"/>
      <c r="BC776" s="27"/>
      <c r="BD776" s="26"/>
      <c r="BE776" s="27"/>
      <c r="BF776" s="26"/>
      <c r="BH776" s="26"/>
      <c r="BI776" s="26"/>
      <c r="BJ776" s="26"/>
      <c r="BK776" s="26"/>
    </row>
    <row r="777" spans="3:63" x14ac:dyDescent="0.2">
      <c r="C777" s="26"/>
      <c r="D777" s="26"/>
      <c r="E777" s="26"/>
      <c r="F777" s="26"/>
      <c r="AV777" s="27"/>
      <c r="AW777" s="27"/>
      <c r="AX777" s="27"/>
      <c r="AY777" s="27"/>
      <c r="AZ777" s="27"/>
      <c r="BA777" s="27"/>
      <c r="BB777" s="26"/>
      <c r="BC777" s="27"/>
      <c r="BD777" s="26"/>
      <c r="BE777" s="27"/>
      <c r="BF777" s="26"/>
      <c r="BH777" s="26"/>
      <c r="BI777" s="26"/>
      <c r="BJ777" s="26"/>
      <c r="BK777" s="26"/>
    </row>
    <row r="778" spans="3:63" x14ac:dyDescent="0.2">
      <c r="C778" s="26"/>
      <c r="D778" s="26"/>
      <c r="E778" s="26"/>
      <c r="F778" s="26"/>
      <c r="AV778" s="27"/>
      <c r="AW778" s="27"/>
      <c r="AX778" s="27"/>
      <c r="AY778" s="27"/>
      <c r="AZ778" s="27"/>
      <c r="BA778" s="27"/>
      <c r="BB778" s="26"/>
      <c r="BC778" s="27"/>
      <c r="BD778" s="26"/>
      <c r="BE778" s="27"/>
      <c r="BF778" s="26"/>
      <c r="BH778" s="26"/>
      <c r="BI778" s="26"/>
      <c r="BJ778" s="26"/>
      <c r="BK778" s="26"/>
    </row>
    <row r="779" spans="3:63" x14ac:dyDescent="0.2">
      <c r="C779" s="26"/>
      <c r="D779" s="26"/>
      <c r="E779" s="26"/>
      <c r="F779" s="26"/>
      <c r="AV779" s="27"/>
      <c r="AW779" s="27"/>
      <c r="AX779" s="27"/>
      <c r="AY779" s="27"/>
      <c r="AZ779" s="27"/>
      <c r="BA779" s="27"/>
      <c r="BB779" s="26"/>
      <c r="BC779" s="27"/>
      <c r="BD779" s="26"/>
      <c r="BE779" s="27"/>
      <c r="BF779" s="26"/>
      <c r="BH779" s="26"/>
      <c r="BI779" s="26"/>
      <c r="BJ779" s="26"/>
      <c r="BK779" s="26"/>
    </row>
    <row r="780" spans="3:63" x14ac:dyDescent="0.2">
      <c r="C780" s="26"/>
      <c r="D780" s="26"/>
      <c r="E780" s="26"/>
      <c r="F780" s="26"/>
      <c r="AV780" s="27"/>
      <c r="AW780" s="27"/>
      <c r="AX780" s="27"/>
      <c r="AY780" s="27"/>
      <c r="AZ780" s="27"/>
      <c r="BA780" s="27"/>
      <c r="BB780" s="26"/>
      <c r="BC780" s="27"/>
      <c r="BD780" s="26"/>
      <c r="BE780" s="27"/>
      <c r="BF780" s="26"/>
      <c r="BH780" s="26"/>
      <c r="BI780" s="26"/>
      <c r="BJ780" s="26"/>
      <c r="BK780" s="26"/>
    </row>
    <row r="781" spans="3:63" x14ac:dyDescent="0.2">
      <c r="C781" s="26"/>
      <c r="D781" s="26"/>
      <c r="E781" s="26"/>
      <c r="F781" s="26"/>
      <c r="AV781" s="27"/>
      <c r="AW781" s="27"/>
      <c r="AX781" s="27"/>
      <c r="AY781" s="27"/>
      <c r="AZ781" s="27"/>
      <c r="BA781" s="27"/>
      <c r="BB781" s="26"/>
      <c r="BC781" s="27"/>
      <c r="BD781" s="26"/>
      <c r="BE781" s="27"/>
      <c r="BF781" s="26"/>
      <c r="BH781" s="26"/>
      <c r="BI781" s="26"/>
      <c r="BJ781" s="26"/>
      <c r="BK781" s="26"/>
    </row>
    <row r="782" spans="3:63" x14ac:dyDescent="0.2">
      <c r="C782" s="26"/>
      <c r="D782" s="26"/>
      <c r="E782" s="26"/>
      <c r="F782" s="26"/>
      <c r="AV782" s="27"/>
      <c r="AW782" s="27"/>
      <c r="AX782" s="27"/>
      <c r="AY782" s="27"/>
      <c r="AZ782" s="27"/>
      <c r="BA782" s="27"/>
      <c r="BB782" s="26"/>
      <c r="BC782" s="27"/>
      <c r="BD782" s="26"/>
      <c r="BE782" s="27"/>
      <c r="BF782" s="26"/>
      <c r="BH782" s="26"/>
      <c r="BI782" s="26"/>
      <c r="BJ782" s="26"/>
      <c r="BK782" s="26"/>
    </row>
    <row r="783" spans="3:63" x14ac:dyDescent="0.2">
      <c r="C783" s="26"/>
      <c r="D783" s="26"/>
      <c r="E783" s="26"/>
      <c r="F783" s="26"/>
      <c r="AV783" s="27"/>
      <c r="AW783" s="27"/>
      <c r="AX783" s="27"/>
      <c r="AY783" s="27"/>
      <c r="AZ783" s="27"/>
      <c r="BA783" s="27"/>
      <c r="BB783" s="26"/>
      <c r="BC783" s="27"/>
      <c r="BD783" s="26"/>
      <c r="BE783" s="27"/>
      <c r="BF783" s="26"/>
      <c r="BH783" s="26"/>
      <c r="BI783" s="26"/>
      <c r="BJ783" s="26"/>
      <c r="BK783" s="26"/>
    </row>
    <row r="784" spans="3:63" x14ac:dyDescent="0.2">
      <c r="C784" s="26"/>
      <c r="D784" s="26"/>
      <c r="E784" s="26"/>
      <c r="F784" s="26"/>
      <c r="AV784" s="27"/>
      <c r="AW784" s="27"/>
      <c r="AX784" s="27"/>
      <c r="AY784" s="27"/>
      <c r="AZ784" s="27"/>
      <c r="BA784" s="27"/>
      <c r="BB784" s="26"/>
      <c r="BC784" s="27"/>
      <c r="BD784" s="26"/>
      <c r="BE784" s="27"/>
      <c r="BF784" s="26"/>
      <c r="BH784" s="26"/>
      <c r="BI784" s="26"/>
      <c r="BJ784" s="26"/>
      <c r="BK784" s="26"/>
    </row>
    <row r="785" spans="3:63" x14ac:dyDescent="0.2">
      <c r="C785" s="26"/>
      <c r="D785" s="26"/>
      <c r="E785" s="26"/>
      <c r="F785" s="26"/>
      <c r="AV785" s="27"/>
      <c r="AW785" s="27"/>
      <c r="AX785" s="27"/>
      <c r="AY785" s="27"/>
      <c r="AZ785" s="27"/>
      <c r="BA785" s="27"/>
      <c r="BB785" s="26"/>
      <c r="BC785" s="27"/>
      <c r="BD785" s="26"/>
      <c r="BE785" s="27"/>
      <c r="BF785" s="26"/>
      <c r="BH785" s="26"/>
      <c r="BI785" s="26"/>
      <c r="BJ785" s="26"/>
      <c r="BK785" s="26"/>
    </row>
    <row r="786" spans="3:63" x14ac:dyDescent="0.2">
      <c r="C786" s="26"/>
      <c r="D786" s="26"/>
      <c r="E786" s="26"/>
      <c r="F786" s="26"/>
      <c r="AV786" s="27"/>
      <c r="AW786" s="27"/>
      <c r="AX786" s="27"/>
      <c r="AY786" s="27"/>
      <c r="AZ786" s="27"/>
      <c r="BA786" s="27"/>
      <c r="BB786" s="26"/>
      <c r="BC786" s="27"/>
      <c r="BD786" s="26"/>
      <c r="BE786" s="27"/>
      <c r="BF786" s="26"/>
      <c r="BH786" s="26"/>
      <c r="BI786" s="26"/>
      <c r="BJ786" s="26"/>
      <c r="BK786" s="26"/>
    </row>
    <row r="787" spans="3:63" x14ac:dyDescent="0.2">
      <c r="C787" s="26"/>
      <c r="D787" s="26"/>
      <c r="E787" s="26"/>
      <c r="F787" s="26"/>
      <c r="AV787" s="27"/>
      <c r="AW787" s="27"/>
      <c r="AX787" s="27"/>
      <c r="AY787" s="27"/>
      <c r="AZ787" s="27"/>
      <c r="BA787" s="27"/>
      <c r="BB787" s="26"/>
      <c r="BC787" s="27"/>
      <c r="BD787" s="26"/>
      <c r="BE787" s="27"/>
      <c r="BF787" s="26"/>
      <c r="BH787" s="26"/>
      <c r="BI787" s="26"/>
      <c r="BJ787" s="26"/>
      <c r="BK787" s="26"/>
    </row>
    <row r="788" spans="3:63" x14ac:dyDescent="0.2">
      <c r="C788" s="26"/>
      <c r="D788" s="26"/>
      <c r="E788" s="26"/>
      <c r="F788" s="26"/>
      <c r="AV788" s="27"/>
      <c r="AW788" s="27"/>
      <c r="AX788" s="27"/>
      <c r="AY788" s="27"/>
      <c r="AZ788" s="27"/>
      <c r="BA788" s="27"/>
      <c r="BB788" s="26"/>
      <c r="BC788" s="27"/>
      <c r="BD788" s="26"/>
      <c r="BE788" s="27"/>
      <c r="BF788" s="26"/>
      <c r="BH788" s="26"/>
      <c r="BI788" s="26"/>
      <c r="BJ788" s="26"/>
      <c r="BK788" s="26"/>
    </row>
    <row r="789" spans="3:63" x14ac:dyDescent="0.2">
      <c r="C789" s="26"/>
      <c r="D789" s="26"/>
      <c r="E789" s="26"/>
      <c r="F789" s="26"/>
      <c r="AV789" s="27"/>
      <c r="AW789" s="27"/>
      <c r="AX789" s="27"/>
      <c r="AY789" s="27"/>
      <c r="AZ789" s="27"/>
      <c r="BA789" s="27"/>
      <c r="BB789" s="26"/>
      <c r="BC789" s="27"/>
      <c r="BD789" s="26"/>
      <c r="BE789" s="27"/>
      <c r="BF789" s="26"/>
      <c r="BH789" s="26"/>
      <c r="BI789" s="26"/>
      <c r="BJ789" s="26"/>
      <c r="BK789" s="26"/>
    </row>
    <row r="790" spans="3:63" x14ac:dyDescent="0.2">
      <c r="C790" s="26"/>
      <c r="D790" s="26"/>
      <c r="E790" s="26"/>
      <c r="F790" s="26"/>
      <c r="AV790" s="27"/>
      <c r="AW790" s="27"/>
      <c r="AX790" s="27"/>
      <c r="AY790" s="27"/>
      <c r="AZ790" s="27"/>
      <c r="BA790" s="27"/>
      <c r="BB790" s="26"/>
      <c r="BC790" s="27"/>
      <c r="BD790" s="26"/>
      <c r="BE790" s="27"/>
      <c r="BF790" s="26"/>
      <c r="BH790" s="26"/>
      <c r="BI790" s="26"/>
      <c r="BJ790" s="26"/>
      <c r="BK790" s="26"/>
    </row>
    <row r="791" spans="3:63" x14ac:dyDescent="0.2">
      <c r="C791" s="26"/>
      <c r="D791" s="26"/>
      <c r="E791" s="26"/>
      <c r="F791" s="26"/>
      <c r="AV791" s="27"/>
      <c r="AW791" s="27"/>
      <c r="AX791" s="27"/>
      <c r="AY791" s="27"/>
      <c r="AZ791" s="27"/>
      <c r="BA791" s="27"/>
      <c r="BB791" s="26"/>
      <c r="BC791" s="27"/>
      <c r="BD791" s="26"/>
      <c r="BE791" s="27"/>
      <c r="BF791" s="26"/>
      <c r="BH791" s="26"/>
      <c r="BI791" s="26"/>
      <c r="BJ791" s="26"/>
      <c r="BK791" s="26"/>
    </row>
    <row r="792" spans="3:63" x14ac:dyDescent="0.2">
      <c r="C792" s="26"/>
      <c r="D792" s="26"/>
      <c r="E792" s="26"/>
      <c r="F792" s="26"/>
      <c r="AV792" s="27"/>
      <c r="AW792" s="27"/>
      <c r="AX792" s="27"/>
      <c r="AY792" s="27"/>
      <c r="AZ792" s="27"/>
      <c r="BA792" s="27"/>
      <c r="BB792" s="26"/>
      <c r="BC792" s="27"/>
      <c r="BD792" s="26"/>
      <c r="BE792" s="27"/>
      <c r="BF792" s="26"/>
      <c r="BH792" s="26"/>
      <c r="BI792" s="26"/>
      <c r="BJ792" s="26"/>
      <c r="BK792" s="26"/>
    </row>
    <row r="793" spans="3:63" x14ac:dyDescent="0.2">
      <c r="C793" s="26"/>
      <c r="D793" s="26"/>
      <c r="E793" s="26"/>
      <c r="F793" s="26"/>
      <c r="AV793" s="27"/>
      <c r="AW793" s="27"/>
      <c r="AX793" s="27"/>
      <c r="AY793" s="27"/>
      <c r="AZ793" s="27"/>
      <c r="BA793" s="27"/>
      <c r="BB793" s="26"/>
      <c r="BC793" s="27"/>
      <c r="BD793" s="26"/>
      <c r="BE793" s="27"/>
      <c r="BF793" s="26"/>
      <c r="BH793" s="26"/>
      <c r="BI793" s="26"/>
      <c r="BJ793" s="26"/>
      <c r="BK793" s="26"/>
    </row>
    <row r="794" spans="3:63" x14ac:dyDescent="0.2">
      <c r="C794" s="26"/>
      <c r="D794" s="26"/>
      <c r="E794" s="26"/>
      <c r="F794" s="26"/>
      <c r="AV794" s="27"/>
      <c r="AW794" s="27"/>
      <c r="AX794" s="27"/>
      <c r="AY794" s="27"/>
      <c r="AZ794" s="27"/>
      <c r="BA794" s="27"/>
      <c r="BB794" s="26"/>
      <c r="BC794" s="27"/>
      <c r="BD794" s="26"/>
      <c r="BE794" s="27"/>
      <c r="BF794" s="26"/>
      <c r="BH794" s="26"/>
      <c r="BI794" s="26"/>
      <c r="BJ794" s="26"/>
      <c r="BK794" s="26"/>
    </row>
    <row r="795" spans="3:63" x14ac:dyDescent="0.2">
      <c r="C795" s="26"/>
      <c r="D795" s="26"/>
      <c r="E795" s="26"/>
      <c r="F795" s="26"/>
      <c r="AV795" s="27"/>
      <c r="AW795" s="27"/>
      <c r="AX795" s="27"/>
      <c r="AY795" s="27"/>
      <c r="AZ795" s="27"/>
      <c r="BA795" s="27"/>
      <c r="BB795" s="26"/>
      <c r="BC795" s="27"/>
      <c r="BD795" s="26"/>
      <c r="BE795" s="27"/>
      <c r="BF795" s="26"/>
      <c r="BH795" s="26"/>
      <c r="BI795" s="26"/>
      <c r="BJ795" s="26"/>
      <c r="BK795" s="26"/>
    </row>
    <row r="796" spans="3:63" x14ac:dyDescent="0.2">
      <c r="C796" s="26"/>
      <c r="D796" s="26"/>
      <c r="E796" s="26"/>
      <c r="F796" s="26"/>
      <c r="AV796" s="27"/>
      <c r="AW796" s="27"/>
      <c r="AX796" s="27"/>
      <c r="AY796" s="27"/>
      <c r="AZ796" s="27"/>
      <c r="BA796" s="27"/>
      <c r="BB796" s="26"/>
      <c r="BC796" s="27"/>
      <c r="BD796" s="26"/>
      <c r="BE796" s="27"/>
      <c r="BF796" s="26"/>
      <c r="BH796" s="26"/>
      <c r="BI796" s="26"/>
      <c r="BJ796" s="26"/>
      <c r="BK796" s="26"/>
    </row>
    <row r="797" spans="3:63" x14ac:dyDescent="0.2">
      <c r="C797" s="26"/>
      <c r="D797" s="26"/>
      <c r="E797" s="26"/>
      <c r="F797" s="26"/>
      <c r="AV797" s="27"/>
      <c r="AW797" s="27"/>
      <c r="AX797" s="27"/>
      <c r="AY797" s="27"/>
      <c r="AZ797" s="27"/>
      <c r="BA797" s="27"/>
      <c r="BB797" s="26"/>
      <c r="BC797" s="27"/>
      <c r="BD797" s="26"/>
      <c r="BE797" s="27"/>
      <c r="BF797" s="26"/>
      <c r="BH797" s="26"/>
      <c r="BI797" s="26"/>
      <c r="BJ797" s="26"/>
      <c r="BK797" s="26"/>
    </row>
    <row r="798" spans="3:63" x14ac:dyDescent="0.2">
      <c r="C798" s="26"/>
      <c r="D798" s="26"/>
      <c r="E798" s="26"/>
      <c r="F798" s="26"/>
      <c r="AV798" s="27"/>
      <c r="AW798" s="27"/>
      <c r="AX798" s="27"/>
      <c r="AY798" s="27"/>
      <c r="AZ798" s="27"/>
      <c r="BA798" s="27"/>
      <c r="BB798" s="26"/>
      <c r="BC798" s="27"/>
      <c r="BD798" s="26"/>
      <c r="BE798" s="27"/>
      <c r="BF798" s="26"/>
      <c r="BH798" s="26"/>
      <c r="BI798" s="26"/>
      <c r="BJ798" s="26"/>
      <c r="BK798" s="26"/>
    </row>
    <row r="799" spans="3:63" x14ac:dyDescent="0.2">
      <c r="C799" s="26"/>
      <c r="D799" s="26"/>
      <c r="E799" s="26"/>
      <c r="F799" s="26"/>
      <c r="AV799" s="27"/>
      <c r="AW799" s="27"/>
      <c r="AX799" s="27"/>
      <c r="AY799" s="27"/>
      <c r="AZ799" s="27"/>
      <c r="BA799" s="27"/>
      <c r="BB799" s="26"/>
      <c r="BC799" s="27"/>
      <c r="BD799" s="26"/>
      <c r="BE799" s="27"/>
      <c r="BF799" s="26"/>
      <c r="BH799" s="26"/>
      <c r="BI799" s="26"/>
      <c r="BJ799" s="26"/>
      <c r="BK799" s="26"/>
    </row>
    <row r="800" spans="3:63" x14ac:dyDescent="0.2">
      <c r="C800" s="26"/>
      <c r="D800" s="26"/>
      <c r="E800" s="26"/>
      <c r="F800" s="26"/>
      <c r="AV800" s="27"/>
      <c r="AW800" s="27"/>
      <c r="AX800" s="27"/>
      <c r="AY800" s="27"/>
      <c r="AZ800" s="27"/>
      <c r="BA800" s="27"/>
      <c r="BB800" s="26"/>
      <c r="BC800" s="27"/>
      <c r="BD800" s="26"/>
      <c r="BE800" s="27"/>
      <c r="BF800" s="26"/>
      <c r="BH800" s="26"/>
      <c r="BI800" s="26"/>
      <c r="BJ800" s="26"/>
      <c r="BK800" s="26"/>
    </row>
    <row r="801" spans="3:63" x14ac:dyDescent="0.2">
      <c r="C801" s="26"/>
      <c r="D801" s="26"/>
      <c r="E801" s="26"/>
      <c r="F801" s="26"/>
      <c r="AV801" s="27"/>
      <c r="AW801" s="27"/>
      <c r="AX801" s="27"/>
      <c r="AY801" s="27"/>
      <c r="AZ801" s="27"/>
      <c r="BA801" s="27"/>
      <c r="BB801" s="26"/>
      <c r="BC801" s="27"/>
      <c r="BD801" s="26"/>
      <c r="BE801" s="27"/>
      <c r="BF801" s="26"/>
      <c r="BH801" s="26"/>
      <c r="BI801" s="26"/>
      <c r="BJ801" s="26"/>
      <c r="BK801" s="26"/>
    </row>
    <row r="802" spans="3:63" x14ac:dyDescent="0.2">
      <c r="C802" s="26"/>
      <c r="D802" s="26"/>
      <c r="E802" s="26"/>
      <c r="F802" s="26"/>
      <c r="AV802" s="27"/>
      <c r="AW802" s="27"/>
      <c r="AX802" s="27"/>
      <c r="AY802" s="27"/>
      <c r="AZ802" s="27"/>
      <c r="BA802" s="27"/>
      <c r="BB802" s="26"/>
      <c r="BC802" s="27"/>
      <c r="BD802" s="26"/>
      <c r="BE802" s="27"/>
      <c r="BF802" s="26"/>
      <c r="BH802" s="26"/>
      <c r="BI802" s="26"/>
      <c r="BJ802" s="26"/>
      <c r="BK802" s="26"/>
    </row>
    <row r="803" spans="3:63" x14ac:dyDescent="0.2">
      <c r="C803" s="26"/>
      <c r="D803" s="26"/>
      <c r="E803" s="26"/>
      <c r="F803" s="26"/>
      <c r="AV803" s="27"/>
      <c r="AW803" s="27"/>
      <c r="AX803" s="27"/>
      <c r="AY803" s="27"/>
      <c r="AZ803" s="27"/>
      <c r="BA803" s="27"/>
      <c r="BB803" s="26"/>
      <c r="BC803" s="27"/>
      <c r="BD803" s="26"/>
      <c r="BE803" s="27"/>
      <c r="BF803" s="26"/>
      <c r="BH803" s="26"/>
      <c r="BI803" s="26"/>
      <c r="BJ803" s="26"/>
      <c r="BK803" s="26"/>
    </row>
    <row r="804" spans="3:63" x14ac:dyDescent="0.2">
      <c r="C804" s="26"/>
      <c r="D804" s="26"/>
      <c r="E804" s="26"/>
      <c r="F804" s="26"/>
      <c r="AV804" s="27"/>
      <c r="AW804" s="27"/>
      <c r="AX804" s="27"/>
      <c r="AY804" s="27"/>
      <c r="AZ804" s="27"/>
      <c r="BA804" s="27"/>
      <c r="BB804" s="26"/>
      <c r="BC804" s="27"/>
      <c r="BD804" s="26"/>
      <c r="BE804" s="27"/>
      <c r="BF804" s="26"/>
      <c r="BH804" s="26"/>
      <c r="BI804" s="26"/>
      <c r="BJ804" s="26"/>
      <c r="BK804" s="26"/>
    </row>
    <row r="805" spans="3:63" x14ac:dyDescent="0.2">
      <c r="C805" s="26"/>
      <c r="D805" s="26"/>
      <c r="E805" s="26"/>
      <c r="F805" s="26"/>
      <c r="AV805" s="27"/>
      <c r="AW805" s="27"/>
      <c r="AX805" s="27"/>
      <c r="AY805" s="27"/>
      <c r="AZ805" s="27"/>
      <c r="BA805" s="27"/>
      <c r="BB805" s="26"/>
      <c r="BC805" s="27"/>
      <c r="BD805" s="26"/>
      <c r="BE805" s="27"/>
      <c r="BF805" s="26"/>
      <c r="BH805" s="26"/>
      <c r="BI805" s="26"/>
      <c r="BJ805" s="26"/>
      <c r="BK805" s="26"/>
    </row>
    <row r="806" spans="3:63" x14ac:dyDescent="0.2">
      <c r="C806" s="26"/>
      <c r="D806" s="26"/>
      <c r="E806" s="26"/>
      <c r="F806" s="26"/>
      <c r="AV806" s="27"/>
      <c r="AW806" s="27"/>
      <c r="AX806" s="27"/>
      <c r="AY806" s="27"/>
      <c r="AZ806" s="27"/>
      <c r="BA806" s="27"/>
      <c r="BB806" s="26"/>
      <c r="BC806" s="27"/>
      <c r="BD806" s="26"/>
      <c r="BE806" s="27"/>
      <c r="BF806" s="26"/>
      <c r="BH806" s="26"/>
      <c r="BI806" s="26"/>
      <c r="BJ806" s="26"/>
      <c r="BK806" s="26"/>
    </row>
    <row r="807" spans="3:63" x14ac:dyDescent="0.2">
      <c r="C807" s="26"/>
      <c r="D807" s="26"/>
      <c r="E807" s="26"/>
      <c r="F807" s="26"/>
      <c r="AV807" s="27"/>
      <c r="AW807" s="27"/>
      <c r="AX807" s="27"/>
      <c r="AY807" s="27"/>
      <c r="AZ807" s="27"/>
      <c r="BA807" s="27"/>
      <c r="BB807" s="26"/>
      <c r="BC807" s="27"/>
      <c r="BD807" s="26"/>
      <c r="BE807" s="27"/>
      <c r="BF807" s="26"/>
      <c r="BH807" s="26"/>
      <c r="BI807" s="26"/>
      <c r="BJ807" s="26"/>
      <c r="BK807" s="26"/>
    </row>
    <row r="808" spans="3:63" x14ac:dyDescent="0.2">
      <c r="C808" s="26"/>
      <c r="D808" s="26"/>
      <c r="E808" s="26"/>
      <c r="F808" s="26"/>
      <c r="AV808" s="27"/>
      <c r="AW808" s="27"/>
      <c r="AX808" s="27"/>
      <c r="AY808" s="27"/>
      <c r="AZ808" s="27"/>
      <c r="BA808" s="27"/>
      <c r="BB808" s="26"/>
      <c r="BC808" s="27"/>
      <c r="BD808" s="26"/>
      <c r="BE808" s="27"/>
      <c r="BF808" s="26"/>
      <c r="BH808" s="26"/>
      <c r="BI808" s="26"/>
      <c r="BJ808" s="26"/>
      <c r="BK808" s="26"/>
    </row>
    <row r="809" spans="3:63" x14ac:dyDescent="0.2">
      <c r="C809" s="26"/>
      <c r="D809" s="26"/>
      <c r="E809" s="26"/>
      <c r="F809" s="26"/>
      <c r="AV809" s="27"/>
      <c r="AW809" s="27"/>
      <c r="AX809" s="27"/>
      <c r="AY809" s="27"/>
      <c r="AZ809" s="27"/>
      <c r="BA809" s="27"/>
      <c r="BB809" s="26"/>
      <c r="BC809" s="27"/>
      <c r="BD809" s="26"/>
      <c r="BE809" s="27"/>
      <c r="BF809" s="26"/>
      <c r="BH809" s="26"/>
      <c r="BI809" s="26"/>
      <c r="BJ809" s="26"/>
      <c r="BK809" s="26"/>
    </row>
    <row r="810" spans="3:63" x14ac:dyDescent="0.2">
      <c r="C810" s="26"/>
      <c r="D810" s="26"/>
      <c r="E810" s="26"/>
      <c r="F810" s="26"/>
      <c r="AV810" s="27"/>
      <c r="AW810" s="27"/>
      <c r="AX810" s="27"/>
      <c r="AY810" s="27"/>
      <c r="AZ810" s="27"/>
      <c r="BA810" s="27"/>
      <c r="BB810" s="26"/>
      <c r="BC810" s="27"/>
      <c r="BD810" s="26"/>
      <c r="BE810" s="27"/>
      <c r="BF810" s="26"/>
      <c r="BH810" s="26"/>
      <c r="BI810" s="26"/>
      <c r="BJ810" s="26"/>
      <c r="BK810" s="26"/>
    </row>
    <row r="811" spans="3:63" x14ac:dyDescent="0.2">
      <c r="C811" s="26"/>
      <c r="D811" s="26"/>
      <c r="E811" s="26"/>
      <c r="F811" s="26"/>
      <c r="AV811" s="27"/>
      <c r="AW811" s="27"/>
      <c r="AX811" s="27"/>
      <c r="AY811" s="27"/>
      <c r="AZ811" s="27"/>
      <c r="BA811" s="27"/>
      <c r="BB811" s="26"/>
      <c r="BC811" s="27"/>
      <c r="BD811" s="26"/>
      <c r="BE811" s="27"/>
      <c r="BF811" s="26"/>
      <c r="BH811" s="26"/>
      <c r="BI811" s="26"/>
      <c r="BJ811" s="26"/>
      <c r="BK811" s="26"/>
    </row>
    <row r="812" spans="3:63" x14ac:dyDescent="0.2">
      <c r="C812" s="26"/>
      <c r="D812" s="26"/>
      <c r="E812" s="26"/>
      <c r="F812" s="26"/>
      <c r="AV812" s="27"/>
      <c r="AW812" s="27"/>
      <c r="AX812" s="27"/>
      <c r="AY812" s="27"/>
      <c r="AZ812" s="27"/>
      <c r="BA812" s="27"/>
      <c r="BB812" s="26"/>
      <c r="BC812" s="27"/>
      <c r="BD812" s="26"/>
      <c r="BE812" s="27"/>
      <c r="BF812" s="26"/>
      <c r="BH812" s="26"/>
      <c r="BI812" s="26"/>
      <c r="BJ812" s="26"/>
      <c r="BK812" s="26"/>
    </row>
    <row r="813" spans="3:63" x14ac:dyDescent="0.2">
      <c r="C813" s="26"/>
      <c r="D813" s="26"/>
      <c r="E813" s="26"/>
      <c r="F813" s="26"/>
      <c r="AV813" s="27"/>
      <c r="AW813" s="27"/>
      <c r="AX813" s="27"/>
      <c r="AY813" s="27"/>
      <c r="AZ813" s="27"/>
      <c r="BA813" s="27"/>
      <c r="BB813" s="26"/>
      <c r="BC813" s="27"/>
      <c r="BD813" s="26"/>
      <c r="BE813" s="27"/>
      <c r="BF813" s="26"/>
      <c r="BH813" s="26"/>
      <c r="BI813" s="26"/>
      <c r="BJ813" s="26"/>
      <c r="BK813" s="26"/>
    </row>
    <row r="814" spans="3:63" x14ac:dyDescent="0.2">
      <c r="C814" s="26"/>
      <c r="D814" s="26"/>
      <c r="E814" s="26"/>
      <c r="F814" s="26"/>
      <c r="AV814" s="27"/>
      <c r="AW814" s="27"/>
      <c r="AX814" s="27"/>
      <c r="AY814" s="27"/>
      <c r="AZ814" s="27"/>
      <c r="BA814" s="27"/>
      <c r="BB814" s="26"/>
      <c r="BC814" s="27"/>
      <c r="BD814" s="26"/>
      <c r="BE814" s="27"/>
      <c r="BF814" s="26"/>
      <c r="BH814" s="26"/>
      <c r="BI814" s="26"/>
      <c r="BJ814" s="26"/>
      <c r="BK814" s="26"/>
    </row>
    <row r="815" spans="3:63" x14ac:dyDescent="0.2">
      <c r="C815" s="26"/>
      <c r="D815" s="26"/>
      <c r="E815" s="26"/>
      <c r="F815" s="26"/>
      <c r="AV815" s="27"/>
      <c r="AW815" s="27"/>
      <c r="AX815" s="27"/>
      <c r="AY815" s="27"/>
      <c r="AZ815" s="27"/>
      <c r="BA815" s="27"/>
      <c r="BB815" s="26"/>
      <c r="BC815" s="27"/>
      <c r="BD815" s="26"/>
      <c r="BE815" s="27"/>
      <c r="BF815" s="26"/>
      <c r="BH815" s="26"/>
      <c r="BI815" s="26"/>
      <c r="BJ815" s="26"/>
      <c r="BK815" s="26"/>
    </row>
    <row r="816" spans="3:63" x14ac:dyDescent="0.2">
      <c r="C816" s="26"/>
      <c r="D816" s="26"/>
      <c r="E816" s="26"/>
      <c r="F816" s="26"/>
      <c r="AV816" s="27"/>
      <c r="AW816" s="27"/>
      <c r="AX816" s="27"/>
      <c r="AY816" s="27"/>
      <c r="AZ816" s="27"/>
      <c r="BA816" s="27"/>
      <c r="BB816" s="26"/>
      <c r="BC816" s="27"/>
      <c r="BD816" s="26"/>
      <c r="BE816" s="27"/>
      <c r="BF816" s="26"/>
      <c r="BH816" s="26"/>
      <c r="BI816" s="26"/>
      <c r="BJ816" s="26"/>
      <c r="BK816" s="26"/>
    </row>
    <row r="817" spans="3:63" x14ac:dyDescent="0.2">
      <c r="C817" s="26"/>
      <c r="D817" s="26"/>
      <c r="E817" s="26"/>
      <c r="F817" s="26"/>
      <c r="AV817" s="27"/>
      <c r="AW817" s="27"/>
      <c r="AX817" s="27"/>
      <c r="AY817" s="27"/>
      <c r="AZ817" s="27"/>
      <c r="BA817" s="27"/>
      <c r="BB817" s="26"/>
      <c r="BC817" s="27"/>
      <c r="BD817" s="26"/>
      <c r="BE817" s="27"/>
      <c r="BF817" s="26"/>
      <c r="BH817" s="26"/>
      <c r="BI817" s="26"/>
      <c r="BJ817" s="26"/>
      <c r="BK817" s="26"/>
    </row>
    <row r="818" spans="3:63" x14ac:dyDescent="0.2">
      <c r="C818" s="26"/>
      <c r="D818" s="26"/>
      <c r="E818" s="26"/>
      <c r="F818" s="26"/>
      <c r="AV818" s="27"/>
      <c r="AW818" s="27"/>
      <c r="AX818" s="27"/>
      <c r="AY818" s="27"/>
      <c r="AZ818" s="27"/>
      <c r="BA818" s="27"/>
      <c r="BB818" s="26"/>
      <c r="BC818" s="27"/>
      <c r="BD818" s="26"/>
      <c r="BE818" s="27"/>
      <c r="BF818" s="26"/>
      <c r="BH818" s="26"/>
      <c r="BI818" s="26"/>
      <c r="BJ818" s="26"/>
      <c r="BK818" s="26"/>
    </row>
    <row r="819" spans="3:63" x14ac:dyDescent="0.2">
      <c r="C819" s="26"/>
      <c r="D819" s="26"/>
      <c r="E819" s="26"/>
      <c r="F819" s="26"/>
      <c r="AV819" s="27"/>
      <c r="AW819" s="27"/>
      <c r="AX819" s="27"/>
      <c r="AY819" s="27"/>
      <c r="AZ819" s="27"/>
      <c r="BA819" s="27"/>
      <c r="BB819" s="26"/>
      <c r="BC819" s="27"/>
      <c r="BD819" s="26"/>
      <c r="BE819" s="27"/>
      <c r="BF819" s="26"/>
      <c r="BH819" s="26"/>
      <c r="BI819" s="26"/>
      <c r="BJ819" s="26"/>
      <c r="BK819" s="26"/>
    </row>
    <row r="820" spans="3:63" x14ac:dyDescent="0.2">
      <c r="C820" s="26"/>
      <c r="D820" s="26"/>
      <c r="E820" s="26"/>
      <c r="F820" s="26"/>
      <c r="AV820" s="27"/>
      <c r="AW820" s="27"/>
      <c r="AX820" s="27"/>
      <c r="AY820" s="27"/>
      <c r="AZ820" s="27"/>
      <c r="BA820" s="27"/>
      <c r="BB820" s="26"/>
      <c r="BC820" s="27"/>
      <c r="BD820" s="26"/>
      <c r="BE820" s="27"/>
      <c r="BF820" s="26"/>
      <c r="BH820" s="26"/>
      <c r="BI820" s="26"/>
      <c r="BJ820" s="26"/>
      <c r="BK820" s="26"/>
    </row>
    <row r="821" spans="3:63" x14ac:dyDescent="0.2">
      <c r="C821" s="26"/>
      <c r="D821" s="26"/>
      <c r="E821" s="26"/>
      <c r="F821" s="26"/>
      <c r="AV821" s="27"/>
      <c r="AW821" s="27"/>
      <c r="AX821" s="27"/>
      <c r="AY821" s="27"/>
      <c r="AZ821" s="27"/>
      <c r="BA821" s="27"/>
      <c r="BB821" s="26"/>
      <c r="BC821" s="27"/>
      <c r="BD821" s="26"/>
      <c r="BE821" s="27"/>
      <c r="BF821" s="26"/>
      <c r="BH821" s="26"/>
      <c r="BI821" s="26"/>
      <c r="BJ821" s="26"/>
      <c r="BK821" s="26"/>
    </row>
    <row r="822" spans="3:63" x14ac:dyDescent="0.2">
      <c r="C822" s="26"/>
      <c r="D822" s="26"/>
      <c r="E822" s="26"/>
      <c r="F822" s="26"/>
      <c r="AV822" s="27"/>
      <c r="AW822" s="27"/>
      <c r="AX822" s="27"/>
      <c r="AY822" s="27"/>
      <c r="AZ822" s="27"/>
      <c r="BA822" s="27"/>
      <c r="BB822" s="26"/>
      <c r="BC822" s="27"/>
      <c r="BD822" s="26"/>
      <c r="BE822" s="27"/>
      <c r="BF822" s="26"/>
      <c r="BH822" s="26"/>
      <c r="BI822" s="26"/>
      <c r="BJ822" s="26"/>
      <c r="BK822" s="26"/>
    </row>
    <row r="823" spans="3:63" x14ac:dyDescent="0.2">
      <c r="C823" s="26"/>
      <c r="D823" s="26"/>
      <c r="E823" s="26"/>
      <c r="F823" s="26"/>
      <c r="AV823" s="27"/>
      <c r="AW823" s="27"/>
      <c r="AX823" s="27"/>
      <c r="AY823" s="27"/>
      <c r="AZ823" s="27"/>
      <c r="BA823" s="27"/>
      <c r="BB823" s="26"/>
      <c r="BC823" s="27"/>
      <c r="BD823" s="26"/>
      <c r="BE823" s="27"/>
      <c r="BF823" s="26"/>
      <c r="BH823" s="26"/>
      <c r="BI823" s="26"/>
      <c r="BJ823" s="26"/>
      <c r="BK823" s="26"/>
    </row>
    <row r="824" spans="3:63" x14ac:dyDescent="0.2">
      <c r="C824" s="26"/>
      <c r="D824" s="26"/>
      <c r="E824" s="26"/>
      <c r="F824" s="26"/>
      <c r="AV824" s="27"/>
      <c r="AW824" s="27"/>
      <c r="AX824" s="27"/>
      <c r="AY824" s="27"/>
      <c r="AZ824" s="27"/>
      <c r="BA824" s="27"/>
      <c r="BB824" s="26"/>
      <c r="BC824" s="27"/>
      <c r="BD824" s="26"/>
      <c r="BE824" s="27"/>
      <c r="BF824" s="26"/>
      <c r="BH824" s="26"/>
      <c r="BI824" s="26"/>
      <c r="BJ824" s="26"/>
      <c r="BK824" s="26"/>
    </row>
    <row r="825" spans="3:63" x14ac:dyDescent="0.2">
      <c r="C825" s="26"/>
      <c r="D825" s="26"/>
      <c r="E825" s="26"/>
      <c r="F825" s="26"/>
      <c r="AV825" s="27"/>
      <c r="AW825" s="27"/>
      <c r="AX825" s="27"/>
      <c r="AY825" s="27"/>
      <c r="AZ825" s="27"/>
      <c r="BA825" s="27"/>
      <c r="BB825" s="26"/>
      <c r="BC825" s="27"/>
      <c r="BD825" s="26"/>
      <c r="BE825" s="27"/>
      <c r="BF825" s="26"/>
      <c r="BH825" s="26"/>
      <c r="BI825" s="26"/>
      <c r="BJ825" s="26"/>
      <c r="BK825" s="26"/>
    </row>
    <row r="826" spans="3:63" x14ac:dyDescent="0.2">
      <c r="C826" s="26"/>
      <c r="D826" s="26"/>
      <c r="E826" s="26"/>
      <c r="F826" s="26"/>
      <c r="AV826" s="27"/>
      <c r="AW826" s="27"/>
      <c r="AX826" s="27"/>
      <c r="AY826" s="27"/>
      <c r="AZ826" s="27"/>
      <c r="BA826" s="27"/>
      <c r="BB826" s="26"/>
      <c r="BC826" s="27"/>
      <c r="BD826" s="26"/>
      <c r="BE826" s="27"/>
      <c r="BF826" s="26"/>
      <c r="BH826" s="26"/>
      <c r="BI826" s="26"/>
      <c r="BJ826" s="26"/>
      <c r="BK826" s="26"/>
    </row>
    <row r="827" spans="3:63" x14ac:dyDescent="0.2">
      <c r="C827" s="26"/>
      <c r="D827" s="26"/>
      <c r="E827" s="26"/>
      <c r="F827" s="26"/>
      <c r="AV827" s="27"/>
      <c r="AW827" s="27"/>
      <c r="AX827" s="27"/>
      <c r="AY827" s="27"/>
      <c r="AZ827" s="27"/>
      <c r="BA827" s="27"/>
      <c r="BB827" s="26"/>
      <c r="BC827" s="27"/>
      <c r="BD827" s="26"/>
      <c r="BE827" s="27"/>
      <c r="BF827" s="26"/>
      <c r="BH827" s="26"/>
      <c r="BI827" s="26"/>
      <c r="BJ827" s="26"/>
      <c r="BK827" s="26"/>
    </row>
    <row r="828" spans="3:63" x14ac:dyDescent="0.2">
      <c r="C828" s="26"/>
      <c r="D828" s="26"/>
      <c r="E828" s="26"/>
      <c r="F828" s="26"/>
      <c r="AV828" s="27"/>
      <c r="AW828" s="27"/>
      <c r="AX828" s="27"/>
      <c r="AY828" s="27"/>
      <c r="AZ828" s="27"/>
      <c r="BA828" s="27"/>
      <c r="BB828" s="26"/>
      <c r="BC828" s="27"/>
      <c r="BD828" s="26"/>
      <c r="BE828" s="27"/>
      <c r="BF828" s="26"/>
      <c r="BH828" s="26"/>
      <c r="BI828" s="26"/>
      <c r="BJ828" s="26"/>
      <c r="BK828" s="26"/>
    </row>
    <row r="829" spans="3:63" x14ac:dyDescent="0.2">
      <c r="C829" s="26"/>
      <c r="D829" s="26"/>
      <c r="E829" s="26"/>
      <c r="F829" s="26"/>
      <c r="AV829" s="27"/>
      <c r="AW829" s="27"/>
      <c r="AX829" s="27"/>
      <c r="AY829" s="27"/>
      <c r="AZ829" s="27"/>
      <c r="BA829" s="27"/>
      <c r="BB829" s="26"/>
      <c r="BC829" s="27"/>
      <c r="BD829" s="26"/>
      <c r="BE829" s="27"/>
      <c r="BF829" s="26"/>
      <c r="BH829" s="26"/>
      <c r="BI829" s="26"/>
      <c r="BJ829" s="26"/>
      <c r="BK829" s="26"/>
    </row>
    <row r="830" spans="3:63" x14ac:dyDescent="0.2">
      <c r="C830" s="26"/>
      <c r="D830" s="26"/>
      <c r="E830" s="26"/>
      <c r="F830" s="26"/>
      <c r="AV830" s="27"/>
      <c r="AW830" s="27"/>
      <c r="AX830" s="27"/>
      <c r="AY830" s="27"/>
      <c r="AZ830" s="27"/>
      <c r="BA830" s="27"/>
      <c r="BB830" s="26"/>
      <c r="BC830" s="27"/>
      <c r="BD830" s="26"/>
      <c r="BE830" s="27"/>
      <c r="BF830" s="26"/>
      <c r="BH830" s="26"/>
      <c r="BI830" s="26"/>
      <c r="BJ830" s="26"/>
      <c r="BK830" s="26"/>
    </row>
    <row r="831" spans="3:63" x14ac:dyDescent="0.2">
      <c r="C831" s="26"/>
      <c r="D831" s="26"/>
      <c r="E831" s="26"/>
      <c r="F831" s="26"/>
      <c r="AV831" s="27"/>
      <c r="AW831" s="27"/>
      <c r="AX831" s="27"/>
      <c r="AY831" s="27"/>
      <c r="AZ831" s="27"/>
      <c r="BA831" s="27"/>
      <c r="BB831" s="26"/>
      <c r="BC831" s="27"/>
      <c r="BD831" s="26"/>
      <c r="BE831" s="27"/>
      <c r="BF831" s="26"/>
      <c r="BH831" s="26"/>
      <c r="BI831" s="26"/>
      <c r="BJ831" s="26"/>
      <c r="BK831" s="26"/>
    </row>
    <row r="832" spans="3:63" x14ac:dyDescent="0.2">
      <c r="C832" s="26"/>
      <c r="D832" s="26"/>
      <c r="E832" s="26"/>
      <c r="F832" s="26"/>
      <c r="AV832" s="27"/>
      <c r="AW832" s="27"/>
      <c r="AX832" s="27"/>
      <c r="AY832" s="27"/>
      <c r="AZ832" s="27"/>
      <c r="BA832" s="27"/>
      <c r="BB832" s="26"/>
      <c r="BC832" s="27"/>
      <c r="BD832" s="26"/>
      <c r="BE832" s="27"/>
      <c r="BF832" s="26"/>
      <c r="BH832" s="26"/>
      <c r="BI832" s="26"/>
      <c r="BJ832" s="26"/>
      <c r="BK832" s="26"/>
    </row>
    <row r="833" spans="3:63" x14ac:dyDescent="0.2">
      <c r="C833" s="26"/>
      <c r="D833" s="26"/>
      <c r="E833" s="26"/>
      <c r="F833" s="26"/>
      <c r="AV833" s="27"/>
      <c r="AW833" s="27"/>
      <c r="AX833" s="27"/>
      <c r="AY833" s="27"/>
      <c r="AZ833" s="27"/>
      <c r="BA833" s="27"/>
      <c r="BB833" s="26"/>
      <c r="BC833" s="27"/>
      <c r="BD833" s="26"/>
      <c r="BE833" s="27"/>
      <c r="BF833" s="26"/>
      <c r="BH833" s="26"/>
      <c r="BI833" s="26"/>
      <c r="BJ833" s="26"/>
      <c r="BK833" s="26"/>
    </row>
    <row r="834" spans="3:63" x14ac:dyDescent="0.2">
      <c r="C834" s="26"/>
      <c r="D834" s="26"/>
      <c r="E834" s="26"/>
      <c r="F834" s="26"/>
      <c r="AV834" s="27"/>
      <c r="AW834" s="27"/>
      <c r="AX834" s="27"/>
      <c r="AY834" s="27"/>
      <c r="AZ834" s="27"/>
      <c r="BA834" s="27"/>
      <c r="BB834" s="26"/>
      <c r="BC834" s="27"/>
      <c r="BD834" s="26"/>
      <c r="BE834" s="27"/>
      <c r="BF834" s="26"/>
      <c r="BH834" s="26"/>
      <c r="BI834" s="26"/>
      <c r="BJ834" s="26"/>
      <c r="BK834" s="26"/>
    </row>
    <row r="835" spans="3:63" x14ac:dyDescent="0.2">
      <c r="C835" s="26"/>
      <c r="D835" s="26"/>
      <c r="E835" s="26"/>
      <c r="F835" s="26"/>
      <c r="AV835" s="27"/>
      <c r="AW835" s="27"/>
      <c r="AX835" s="27"/>
      <c r="AY835" s="27"/>
      <c r="AZ835" s="27"/>
      <c r="BA835" s="27"/>
      <c r="BB835" s="26"/>
      <c r="BC835" s="27"/>
      <c r="BD835" s="26"/>
      <c r="BE835" s="27"/>
      <c r="BF835" s="26"/>
      <c r="BH835" s="26"/>
      <c r="BI835" s="26"/>
      <c r="BJ835" s="26"/>
      <c r="BK835" s="26"/>
    </row>
    <row r="836" spans="3:63" x14ac:dyDescent="0.2">
      <c r="C836" s="26"/>
      <c r="D836" s="26"/>
      <c r="E836" s="26"/>
      <c r="F836" s="26"/>
      <c r="AV836" s="27"/>
      <c r="AW836" s="27"/>
      <c r="AX836" s="27"/>
      <c r="AY836" s="27"/>
      <c r="AZ836" s="27"/>
      <c r="BA836" s="27"/>
      <c r="BB836" s="26"/>
      <c r="BC836" s="27"/>
      <c r="BD836" s="26"/>
      <c r="BE836" s="27"/>
      <c r="BF836" s="26"/>
      <c r="BH836" s="26"/>
      <c r="BI836" s="26"/>
      <c r="BJ836" s="26"/>
      <c r="BK836" s="26"/>
    </row>
    <row r="837" spans="3:63" x14ac:dyDescent="0.2">
      <c r="C837" s="26"/>
      <c r="D837" s="26"/>
      <c r="E837" s="26"/>
      <c r="F837" s="26"/>
      <c r="AV837" s="27"/>
      <c r="AW837" s="27"/>
      <c r="AX837" s="27"/>
      <c r="AY837" s="27"/>
      <c r="AZ837" s="27"/>
      <c r="BA837" s="27"/>
      <c r="BB837" s="26"/>
      <c r="BC837" s="27"/>
      <c r="BD837" s="26"/>
      <c r="BE837" s="27"/>
      <c r="BF837" s="26"/>
      <c r="BH837" s="26"/>
      <c r="BI837" s="26"/>
      <c r="BJ837" s="26"/>
      <c r="BK837" s="26"/>
    </row>
    <row r="838" spans="3:63" x14ac:dyDescent="0.2">
      <c r="C838" s="26"/>
      <c r="D838" s="26"/>
      <c r="E838" s="26"/>
      <c r="F838" s="26"/>
      <c r="AV838" s="27"/>
      <c r="AW838" s="27"/>
      <c r="AX838" s="27"/>
      <c r="AY838" s="27"/>
      <c r="AZ838" s="27"/>
      <c r="BA838" s="27"/>
      <c r="BB838" s="26"/>
      <c r="BC838" s="27"/>
      <c r="BD838" s="26"/>
      <c r="BE838" s="27"/>
      <c r="BF838" s="26"/>
      <c r="BH838" s="26"/>
      <c r="BI838" s="26"/>
      <c r="BJ838" s="26"/>
      <c r="BK838" s="26"/>
    </row>
    <row r="839" spans="3:63" x14ac:dyDescent="0.2">
      <c r="C839" s="26"/>
      <c r="D839" s="26"/>
      <c r="E839" s="26"/>
      <c r="F839" s="26"/>
      <c r="AV839" s="27"/>
      <c r="AW839" s="27"/>
      <c r="AX839" s="27"/>
      <c r="AY839" s="27"/>
      <c r="AZ839" s="27"/>
      <c r="BA839" s="27"/>
      <c r="BB839" s="26"/>
      <c r="BC839" s="27"/>
      <c r="BD839" s="26"/>
      <c r="BE839" s="27"/>
      <c r="BF839" s="26"/>
      <c r="BH839" s="26"/>
      <c r="BI839" s="26"/>
      <c r="BJ839" s="26"/>
      <c r="BK839" s="26"/>
    </row>
    <row r="840" spans="3:63" x14ac:dyDescent="0.2">
      <c r="C840" s="26"/>
      <c r="D840" s="26"/>
      <c r="E840" s="26"/>
      <c r="F840" s="26"/>
      <c r="AV840" s="27"/>
      <c r="AW840" s="27"/>
      <c r="AX840" s="27"/>
      <c r="AY840" s="27"/>
      <c r="AZ840" s="27"/>
      <c r="BA840" s="27"/>
      <c r="BB840" s="26"/>
      <c r="BC840" s="27"/>
      <c r="BD840" s="26"/>
      <c r="BE840" s="27"/>
      <c r="BF840" s="26"/>
      <c r="BH840" s="26"/>
      <c r="BI840" s="26"/>
      <c r="BJ840" s="26"/>
      <c r="BK840" s="26"/>
    </row>
    <row r="841" spans="3:63" x14ac:dyDescent="0.2">
      <c r="C841" s="26"/>
      <c r="D841" s="26"/>
      <c r="E841" s="26"/>
      <c r="F841" s="26"/>
      <c r="AV841" s="27"/>
      <c r="AW841" s="27"/>
      <c r="AX841" s="27"/>
      <c r="AY841" s="27"/>
      <c r="AZ841" s="27"/>
      <c r="BA841" s="27"/>
      <c r="BB841" s="26"/>
      <c r="BC841" s="27"/>
      <c r="BD841" s="26"/>
      <c r="BE841" s="27"/>
      <c r="BF841" s="26"/>
      <c r="BH841" s="26"/>
      <c r="BI841" s="26"/>
      <c r="BJ841" s="26"/>
      <c r="BK841" s="26"/>
    </row>
    <row r="842" spans="3:63" x14ac:dyDescent="0.2">
      <c r="C842" s="26"/>
      <c r="D842" s="26"/>
      <c r="E842" s="26"/>
      <c r="F842" s="26"/>
      <c r="AV842" s="27"/>
      <c r="AW842" s="27"/>
      <c r="AX842" s="27"/>
      <c r="AY842" s="27"/>
      <c r="AZ842" s="27"/>
      <c r="BA842" s="27"/>
      <c r="BB842" s="26"/>
      <c r="BC842" s="27"/>
      <c r="BD842" s="26"/>
      <c r="BE842" s="27"/>
      <c r="BF842" s="26"/>
      <c r="BH842" s="26"/>
      <c r="BI842" s="26"/>
      <c r="BJ842" s="26"/>
      <c r="BK842" s="26"/>
    </row>
    <row r="843" spans="3:63" x14ac:dyDescent="0.2">
      <c r="C843" s="26"/>
      <c r="D843" s="26"/>
      <c r="E843" s="26"/>
      <c r="F843" s="26"/>
      <c r="AV843" s="27"/>
      <c r="AW843" s="27"/>
      <c r="AX843" s="27"/>
      <c r="AY843" s="27"/>
      <c r="AZ843" s="27"/>
      <c r="BA843" s="27"/>
      <c r="BB843" s="26"/>
      <c r="BC843" s="27"/>
      <c r="BD843" s="26"/>
      <c r="BE843" s="27"/>
      <c r="BF843" s="26"/>
      <c r="BH843" s="26"/>
      <c r="BI843" s="26"/>
      <c r="BJ843" s="26"/>
      <c r="BK843" s="26"/>
    </row>
    <row r="844" spans="3:63" x14ac:dyDescent="0.2">
      <c r="C844" s="26"/>
      <c r="D844" s="26"/>
      <c r="E844" s="26"/>
      <c r="F844" s="26"/>
      <c r="AV844" s="27"/>
      <c r="AW844" s="27"/>
      <c r="AX844" s="27"/>
      <c r="AY844" s="27"/>
      <c r="AZ844" s="27"/>
      <c r="BA844" s="27"/>
      <c r="BB844" s="26"/>
      <c r="BC844" s="27"/>
      <c r="BD844" s="26"/>
      <c r="BE844" s="27"/>
      <c r="BF844" s="26"/>
      <c r="BH844" s="26"/>
      <c r="BI844" s="26"/>
      <c r="BJ844" s="26"/>
      <c r="BK844" s="26"/>
    </row>
    <row r="845" spans="3:63" x14ac:dyDescent="0.2">
      <c r="C845" s="26"/>
      <c r="D845" s="26"/>
      <c r="E845" s="26"/>
      <c r="F845" s="26"/>
      <c r="AV845" s="27"/>
      <c r="AW845" s="27"/>
      <c r="AX845" s="27"/>
      <c r="AY845" s="27"/>
      <c r="AZ845" s="27"/>
      <c r="BA845" s="27"/>
      <c r="BB845" s="26"/>
      <c r="BC845" s="27"/>
      <c r="BD845" s="26"/>
      <c r="BE845" s="27"/>
      <c r="BF845" s="26"/>
      <c r="BH845" s="26"/>
      <c r="BI845" s="26"/>
      <c r="BJ845" s="26"/>
      <c r="BK845" s="26"/>
    </row>
    <row r="846" spans="3:63" x14ac:dyDescent="0.2">
      <c r="C846" s="26"/>
      <c r="D846" s="26"/>
      <c r="E846" s="26"/>
      <c r="F846" s="26"/>
      <c r="AV846" s="27"/>
      <c r="AW846" s="27"/>
      <c r="AX846" s="27"/>
      <c r="AY846" s="27"/>
      <c r="AZ846" s="27"/>
      <c r="BA846" s="27"/>
      <c r="BB846" s="26"/>
      <c r="BC846" s="27"/>
      <c r="BD846" s="26"/>
      <c r="BE846" s="27"/>
      <c r="BF846" s="26"/>
      <c r="BH846" s="26"/>
      <c r="BI846" s="26"/>
      <c r="BJ846" s="26"/>
      <c r="BK846" s="26"/>
    </row>
    <row r="847" spans="3:63" x14ac:dyDescent="0.2">
      <c r="C847" s="26"/>
      <c r="D847" s="26"/>
      <c r="E847" s="26"/>
      <c r="F847" s="26"/>
      <c r="AV847" s="27"/>
      <c r="AW847" s="27"/>
      <c r="AX847" s="27"/>
      <c r="AY847" s="27"/>
      <c r="AZ847" s="27"/>
      <c r="BA847" s="27"/>
      <c r="BB847" s="26"/>
      <c r="BC847" s="27"/>
      <c r="BD847" s="26"/>
      <c r="BE847" s="27"/>
      <c r="BF847" s="26"/>
      <c r="BH847" s="26"/>
      <c r="BI847" s="26"/>
      <c r="BJ847" s="26"/>
      <c r="BK847" s="26"/>
    </row>
    <row r="848" spans="3:63" x14ac:dyDescent="0.2">
      <c r="C848" s="26"/>
      <c r="D848" s="26"/>
      <c r="E848" s="26"/>
      <c r="F848" s="26"/>
      <c r="AV848" s="27"/>
      <c r="AW848" s="27"/>
      <c r="AX848" s="27"/>
      <c r="AY848" s="27"/>
      <c r="AZ848" s="27"/>
      <c r="BA848" s="27"/>
      <c r="BB848" s="26"/>
      <c r="BC848" s="27"/>
      <c r="BD848" s="26"/>
      <c r="BE848" s="27"/>
      <c r="BF848" s="26"/>
      <c r="BH848" s="26"/>
      <c r="BI848" s="26"/>
      <c r="BJ848" s="26"/>
      <c r="BK848" s="26"/>
    </row>
    <row r="849" spans="3:63" x14ac:dyDescent="0.2">
      <c r="C849" s="26"/>
      <c r="D849" s="26"/>
      <c r="E849" s="26"/>
      <c r="F849" s="26"/>
      <c r="AV849" s="27"/>
      <c r="AW849" s="27"/>
      <c r="AX849" s="27"/>
      <c r="AY849" s="27"/>
      <c r="AZ849" s="27"/>
      <c r="BA849" s="27"/>
      <c r="BB849" s="26"/>
      <c r="BC849" s="27"/>
      <c r="BD849" s="26"/>
      <c r="BE849" s="27"/>
      <c r="BF849" s="26"/>
      <c r="BH849" s="26"/>
      <c r="BI849" s="26"/>
      <c r="BJ849" s="26"/>
      <c r="BK849" s="26"/>
    </row>
    <row r="850" spans="3:63" x14ac:dyDescent="0.2">
      <c r="C850" s="26"/>
      <c r="D850" s="26"/>
      <c r="E850" s="26"/>
      <c r="F850" s="26"/>
      <c r="AV850" s="27"/>
      <c r="AW850" s="27"/>
      <c r="AX850" s="27"/>
      <c r="AY850" s="27"/>
      <c r="AZ850" s="27"/>
      <c r="BA850" s="27"/>
      <c r="BB850" s="26"/>
      <c r="BC850" s="27"/>
      <c r="BD850" s="26"/>
      <c r="BE850" s="27"/>
      <c r="BF850" s="26"/>
      <c r="BH850" s="26"/>
      <c r="BI850" s="26"/>
      <c r="BJ850" s="26"/>
      <c r="BK850" s="26"/>
    </row>
    <row r="851" spans="3:63" x14ac:dyDescent="0.2">
      <c r="C851" s="26"/>
      <c r="D851" s="26"/>
      <c r="E851" s="26"/>
      <c r="F851" s="26"/>
      <c r="AV851" s="27"/>
      <c r="AW851" s="27"/>
      <c r="AX851" s="27"/>
      <c r="AY851" s="27"/>
      <c r="AZ851" s="27"/>
      <c r="BA851" s="27"/>
      <c r="BB851" s="26"/>
      <c r="BC851" s="27"/>
      <c r="BD851" s="26"/>
      <c r="BE851" s="27"/>
      <c r="BF851" s="26"/>
      <c r="BH851" s="26"/>
      <c r="BI851" s="26"/>
      <c r="BJ851" s="26"/>
      <c r="BK851" s="26"/>
    </row>
    <row r="852" spans="3:63" x14ac:dyDescent="0.2">
      <c r="C852" s="26"/>
      <c r="D852" s="26"/>
      <c r="E852" s="26"/>
      <c r="F852" s="26"/>
      <c r="AV852" s="27"/>
      <c r="AW852" s="27"/>
      <c r="AX852" s="27"/>
      <c r="AY852" s="27"/>
      <c r="AZ852" s="27"/>
      <c r="BA852" s="27"/>
      <c r="BB852" s="26"/>
      <c r="BC852" s="27"/>
      <c r="BD852" s="26"/>
      <c r="BE852" s="27"/>
      <c r="BF852" s="26"/>
      <c r="BH852" s="26"/>
      <c r="BI852" s="26"/>
      <c r="BJ852" s="26"/>
      <c r="BK852" s="26"/>
    </row>
    <row r="853" spans="3:63" x14ac:dyDescent="0.2">
      <c r="C853" s="26"/>
      <c r="D853" s="26"/>
      <c r="E853" s="26"/>
      <c r="F853" s="26"/>
      <c r="AV853" s="27"/>
      <c r="AW853" s="27"/>
      <c r="AX853" s="27"/>
      <c r="AY853" s="27"/>
      <c r="AZ853" s="27"/>
      <c r="BA853" s="27"/>
      <c r="BB853" s="26"/>
      <c r="BC853" s="27"/>
      <c r="BD853" s="26"/>
      <c r="BE853" s="27"/>
      <c r="BF853" s="26"/>
      <c r="BH853" s="26"/>
      <c r="BI853" s="26"/>
      <c r="BJ853" s="26"/>
      <c r="BK853" s="26"/>
    </row>
    <row r="854" spans="3:63" x14ac:dyDescent="0.2">
      <c r="C854" s="26"/>
      <c r="D854" s="26"/>
      <c r="E854" s="26"/>
      <c r="F854" s="26"/>
      <c r="AV854" s="27"/>
      <c r="AW854" s="27"/>
      <c r="AX854" s="27"/>
      <c r="AY854" s="27"/>
      <c r="AZ854" s="27"/>
      <c r="BA854" s="27"/>
      <c r="BB854" s="26"/>
      <c r="BC854" s="27"/>
      <c r="BD854" s="26"/>
      <c r="BE854" s="27"/>
      <c r="BF854" s="26"/>
      <c r="BH854" s="26"/>
      <c r="BI854" s="26"/>
      <c r="BJ854" s="26"/>
      <c r="BK854" s="26"/>
    </row>
    <row r="855" spans="3:63" x14ac:dyDescent="0.2">
      <c r="C855" s="26"/>
      <c r="D855" s="26"/>
      <c r="E855" s="26"/>
      <c r="F855" s="26"/>
      <c r="AV855" s="27"/>
      <c r="AW855" s="27"/>
      <c r="AX855" s="27"/>
      <c r="AY855" s="27"/>
      <c r="AZ855" s="27"/>
      <c r="BA855" s="27"/>
      <c r="BB855" s="26"/>
      <c r="BC855" s="27"/>
      <c r="BD855" s="26"/>
      <c r="BE855" s="27"/>
      <c r="BF855" s="26"/>
      <c r="BH855" s="26"/>
      <c r="BI855" s="26"/>
      <c r="BJ855" s="26"/>
      <c r="BK855" s="26"/>
    </row>
    <row r="856" spans="3:63" x14ac:dyDescent="0.2">
      <c r="C856" s="26"/>
      <c r="D856" s="26"/>
      <c r="E856" s="26"/>
      <c r="F856" s="26"/>
      <c r="AV856" s="27"/>
      <c r="AW856" s="27"/>
      <c r="AX856" s="27"/>
      <c r="AY856" s="27"/>
      <c r="AZ856" s="27"/>
      <c r="BA856" s="27"/>
      <c r="BB856" s="26"/>
      <c r="BC856" s="27"/>
      <c r="BD856" s="26"/>
      <c r="BE856" s="27"/>
      <c r="BF856" s="26"/>
      <c r="BH856" s="26"/>
      <c r="BI856" s="26"/>
      <c r="BJ856" s="26"/>
      <c r="BK856" s="26"/>
    </row>
    <row r="857" spans="3:63" x14ac:dyDescent="0.2">
      <c r="C857" s="26"/>
      <c r="D857" s="26"/>
      <c r="E857" s="26"/>
      <c r="F857" s="26"/>
      <c r="AV857" s="27"/>
      <c r="AW857" s="27"/>
      <c r="AX857" s="27"/>
      <c r="AY857" s="27"/>
      <c r="AZ857" s="27"/>
      <c r="BA857" s="27"/>
      <c r="BB857" s="26"/>
      <c r="BC857" s="27"/>
      <c r="BD857" s="26"/>
      <c r="BE857" s="27"/>
      <c r="BF857" s="26"/>
      <c r="BH857" s="26"/>
      <c r="BI857" s="26"/>
      <c r="BJ857" s="26"/>
      <c r="BK857" s="26"/>
    </row>
    <row r="858" spans="3:63" x14ac:dyDescent="0.2">
      <c r="C858" s="26"/>
      <c r="D858" s="26"/>
      <c r="E858" s="26"/>
      <c r="F858" s="26"/>
      <c r="AV858" s="27"/>
      <c r="AW858" s="27"/>
      <c r="AX858" s="27"/>
      <c r="AY858" s="27"/>
      <c r="AZ858" s="27"/>
      <c r="BA858" s="27"/>
      <c r="BB858" s="26"/>
      <c r="BC858" s="27"/>
      <c r="BD858" s="26"/>
      <c r="BE858" s="27"/>
      <c r="BF858" s="26"/>
      <c r="BH858" s="26"/>
      <c r="BI858" s="26"/>
      <c r="BJ858" s="26"/>
      <c r="BK858" s="26"/>
    </row>
    <row r="859" spans="3:63" x14ac:dyDescent="0.2">
      <c r="C859" s="26"/>
      <c r="D859" s="26"/>
      <c r="E859" s="26"/>
      <c r="F859" s="26"/>
      <c r="AV859" s="27"/>
      <c r="AW859" s="27"/>
      <c r="AX859" s="27"/>
      <c r="AY859" s="27"/>
      <c r="AZ859" s="27"/>
      <c r="BA859" s="27"/>
      <c r="BB859" s="26"/>
      <c r="BC859" s="27"/>
      <c r="BD859" s="26"/>
      <c r="BE859" s="27"/>
      <c r="BF859" s="26"/>
      <c r="BH859" s="26"/>
      <c r="BI859" s="26"/>
      <c r="BJ859" s="26"/>
      <c r="BK859" s="26"/>
    </row>
    <row r="860" spans="3:63" x14ac:dyDescent="0.2">
      <c r="C860" s="26"/>
      <c r="D860" s="26"/>
      <c r="E860" s="26"/>
      <c r="F860" s="26"/>
      <c r="AV860" s="27"/>
      <c r="AW860" s="27"/>
      <c r="AX860" s="27"/>
      <c r="AY860" s="27"/>
      <c r="AZ860" s="27"/>
      <c r="BA860" s="27"/>
      <c r="BB860" s="26"/>
      <c r="BC860" s="27"/>
      <c r="BD860" s="26"/>
      <c r="BE860" s="27"/>
      <c r="BF860" s="26"/>
      <c r="BH860" s="26"/>
      <c r="BI860" s="26"/>
      <c r="BJ860" s="26"/>
      <c r="BK860" s="26"/>
    </row>
    <row r="861" spans="3:63" x14ac:dyDescent="0.2">
      <c r="C861" s="26"/>
      <c r="D861" s="26"/>
      <c r="E861" s="26"/>
      <c r="F861" s="26"/>
      <c r="AV861" s="27"/>
      <c r="AW861" s="27"/>
      <c r="AX861" s="27"/>
      <c r="AY861" s="27"/>
      <c r="AZ861" s="27"/>
      <c r="BA861" s="27"/>
      <c r="BB861" s="26"/>
      <c r="BC861" s="27"/>
      <c r="BD861" s="26"/>
      <c r="BE861" s="27"/>
      <c r="BF861" s="26"/>
      <c r="BH861" s="26"/>
      <c r="BI861" s="26"/>
      <c r="BJ861" s="26"/>
      <c r="BK861" s="26"/>
    </row>
    <row r="862" spans="3:63" x14ac:dyDescent="0.2">
      <c r="C862" s="26"/>
      <c r="D862" s="26"/>
      <c r="E862" s="26"/>
      <c r="F862" s="26"/>
      <c r="AV862" s="27"/>
      <c r="AW862" s="27"/>
      <c r="AX862" s="27"/>
      <c r="AY862" s="27"/>
      <c r="AZ862" s="27"/>
      <c r="BA862" s="27"/>
      <c r="BB862" s="26"/>
      <c r="BC862" s="27"/>
      <c r="BD862" s="26"/>
      <c r="BE862" s="27"/>
      <c r="BF862" s="26"/>
      <c r="BH862" s="26"/>
      <c r="BI862" s="26"/>
      <c r="BJ862" s="26"/>
      <c r="BK862" s="26"/>
    </row>
    <row r="863" spans="3:63" x14ac:dyDescent="0.2">
      <c r="C863" s="26"/>
      <c r="D863" s="26"/>
      <c r="E863" s="26"/>
      <c r="F863" s="26"/>
      <c r="AV863" s="27"/>
      <c r="AW863" s="27"/>
      <c r="AX863" s="27"/>
      <c r="AY863" s="27"/>
      <c r="AZ863" s="27"/>
      <c r="BA863" s="27"/>
      <c r="BB863" s="26"/>
      <c r="BC863" s="27"/>
      <c r="BD863" s="26"/>
      <c r="BE863" s="27"/>
      <c r="BF863" s="26"/>
      <c r="BH863" s="26"/>
      <c r="BI863" s="26"/>
      <c r="BJ863" s="26"/>
      <c r="BK863" s="26"/>
    </row>
    <row r="864" spans="3:63" x14ac:dyDescent="0.2">
      <c r="C864" s="26"/>
      <c r="D864" s="26"/>
      <c r="E864" s="26"/>
      <c r="F864" s="26"/>
      <c r="AV864" s="27"/>
      <c r="AW864" s="27"/>
      <c r="AX864" s="27"/>
      <c r="AY864" s="27"/>
      <c r="AZ864" s="27"/>
      <c r="BA864" s="27"/>
      <c r="BB864" s="26"/>
      <c r="BC864" s="27"/>
      <c r="BD864" s="26"/>
      <c r="BE864" s="27"/>
      <c r="BF864" s="26"/>
      <c r="BH864" s="26"/>
      <c r="BI864" s="26"/>
      <c r="BJ864" s="26"/>
      <c r="BK864" s="26"/>
    </row>
    <row r="865" spans="3:63" x14ac:dyDescent="0.2">
      <c r="C865" s="26"/>
      <c r="D865" s="26"/>
      <c r="E865" s="26"/>
      <c r="F865" s="26"/>
      <c r="AV865" s="27"/>
      <c r="AW865" s="27"/>
      <c r="AX865" s="27"/>
      <c r="AY865" s="27"/>
      <c r="AZ865" s="27"/>
      <c r="BA865" s="27"/>
      <c r="BB865" s="26"/>
      <c r="BC865" s="27"/>
      <c r="BD865" s="26"/>
      <c r="BE865" s="27"/>
      <c r="BF865" s="26"/>
      <c r="BH865" s="26"/>
      <c r="BI865" s="26"/>
      <c r="BJ865" s="26"/>
      <c r="BK865" s="26"/>
    </row>
    <row r="866" spans="3:63" x14ac:dyDescent="0.2">
      <c r="C866" s="26"/>
      <c r="D866" s="26"/>
      <c r="E866" s="26"/>
      <c r="F866" s="26"/>
      <c r="AV866" s="27"/>
      <c r="AW866" s="27"/>
      <c r="AX866" s="27"/>
      <c r="AY866" s="27"/>
      <c r="AZ866" s="27"/>
      <c r="BA866" s="27"/>
      <c r="BB866" s="26"/>
      <c r="BC866" s="27"/>
      <c r="BD866" s="26"/>
      <c r="BE866" s="27"/>
      <c r="BF866" s="26"/>
      <c r="BH866" s="26"/>
      <c r="BI866" s="26"/>
      <c r="BJ866" s="26"/>
      <c r="BK866" s="26"/>
    </row>
    <row r="867" spans="3:63" x14ac:dyDescent="0.2">
      <c r="C867" s="26"/>
      <c r="D867" s="26"/>
      <c r="E867" s="26"/>
      <c r="F867" s="26"/>
      <c r="AV867" s="27"/>
      <c r="AW867" s="27"/>
      <c r="AX867" s="27"/>
      <c r="AY867" s="27"/>
      <c r="AZ867" s="27"/>
      <c r="BA867" s="27"/>
      <c r="BB867" s="26"/>
      <c r="BC867" s="27"/>
      <c r="BD867" s="26"/>
      <c r="BE867" s="27"/>
      <c r="BF867" s="26"/>
      <c r="BH867" s="26"/>
      <c r="BI867" s="26"/>
      <c r="BJ867" s="26"/>
      <c r="BK867" s="26"/>
    </row>
    <row r="868" spans="3:63" x14ac:dyDescent="0.2">
      <c r="C868" s="26"/>
      <c r="D868" s="26"/>
      <c r="E868" s="26"/>
      <c r="F868" s="26"/>
      <c r="AV868" s="27"/>
      <c r="AW868" s="27"/>
      <c r="AX868" s="27"/>
      <c r="AY868" s="27"/>
      <c r="AZ868" s="27"/>
      <c r="BA868" s="27"/>
      <c r="BB868" s="26"/>
      <c r="BC868" s="27"/>
      <c r="BD868" s="26"/>
      <c r="BE868" s="27"/>
      <c r="BF868" s="26"/>
      <c r="BH868" s="26"/>
      <c r="BI868" s="26"/>
      <c r="BJ868" s="26"/>
      <c r="BK868" s="26"/>
    </row>
    <row r="869" spans="3:63" x14ac:dyDescent="0.2">
      <c r="C869" s="26"/>
      <c r="D869" s="26"/>
      <c r="E869" s="26"/>
      <c r="F869" s="26"/>
      <c r="AV869" s="27"/>
      <c r="AW869" s="27"/>
      <c r="AX869" s="27"/>
      <c r="AY869" s="27"/>
      <c r="AZ869" s="27"/>
      <c r="BA869" s="27"/>
      <c r="BB869" s="26"/>
      <c r="BC869" s="27"/>
      <c r="BD869" s="26"/>
      <c r="BE869" s="27"/>
      <c r="BF869" s="26"/>
      <c r="BH869" s="26"/>
      <c r="BI869" s="26"/>
      <c r="BJ869" s="26"/>
      <c r="BK869" s="26"/>
    </row>
    <row r="870" spans="3:63" x14ac:dyDescent="0.2">
      <c r="C870" s="26"/>
      <c r="D870" s="26"/>
      <c r="E870" s="26"/>
      <c r="F870" s="26"/>
      <c r="AV870" s="27"/>
      <c r="AW870" s="27"/>
      <c r="AX870" s="27"/>
      <c r="AY870" s="27"/>
      <c r="AZ870" s="27"/>
      <c r="BA870" s="27"/>
      <c r="BB870" s="26"/>
      <c r="BC870" s="27"/>
      <c r="BD870" s="26"/>
      <c r="BE870" s="27"/>
      <c r="BF870" s="26"/>
      <c r="BH870" s="26"/>
      <c r="BI870" s="26"/>
      <c r="BJ870" s="26"/>
      <c r="BK870" s="26"/>
    </row>
    <row r="871" spans="3:63" x14ac:dyDescent="0.2">
      <c r="C871" s="26"/>
      <c r="D871" s="26"/>
      <c r="E871" s="26"/>
      <c r="F871" s="26"/>
      <c r="AV871" s="27"/>
      <c r="AW871" s="27"/>
      <c r="AX871" s="27"/>
      <c r="AY871" s="27"/>
      <c r="AZ871" s="27"/>
      <c r="BA871" s="27"/>
      <c r="BB871" s="26"/>
      <c r="BC871" s="27"/>
      <c r="BD871" s="26"/>
      <c r="BE871" s="27"/>
      <c r="BF871" s="26"/>
      <c r="BH871" s="26"/>
      <c r="BI871" s="26"/>
      <c r="BJ871" s="26"/>
      <c r="BK871" s="26"/>
    </row>
    <row r="872" spans="3:63" x14ac:dyDescent="0.2">
      <c r="C872" s="26"/>
      <c r="D872" s="26"/>
      <c r="E872" s="26"/>
      <c r="F872" s="26"/>
      <c r="AV872" s="27"/>
      <c r="AW872" s="27"/>
      <c r="AX872" s="27"/>
      <c r="AY872" s="27"/>
      <c r="AZ872" s="27"/>
      <c r="BA872" s="27"/>
      <c r="BB872" s="26"/>
      <c r="BC872" s="27"/>
      <c r="BD872" s="26"/>
      <c r="BE872" s="27"/>
      <c r="BF872" s="26"/>
      <c r="BH872" s="26"/>
      <c r="BI872" s="26"/>
      <c r="BJ872" s="26"/>
      <c r="BK872" s="26"/>
    </row>
    <row r="873" spans="3:63" x14ac:dyDescent="0.2">
      <c r="C873" s="26"/>
      <c r="D873" s="26"/>
      <c r="E873" s="26"/>
      <c r="F873" s="26"/>
      <c r="AV873" s="27"/>
      <c r="AW873" s="27"/>
      <c r="AX873" s="27"/>
      <c r="AY873" s="27"/>
      <c r="AZ873" s="27"/>
      <c r="BA873" s="27"/>
      <c r="BB873" s="26"/>
      <c r="BC873" s="27"/>
      <c r="BD873" s="26"/>
      <c r="BE873" s="27"/>
      <c r="BF873" s="26"/>
      <c r="BH873" s="26"/>
      <c r="BI873" s="26"/>
      <c r="BJ873" s="26"/>
      <c r="BK873" s="26"/>
    </row>
    <row r="874" spans="3:63" x14ac:dyDescent="0.2">
      <c r="C874" s="26"/>
      <c r="D874" s="26"/>
      <c r="E874" s="26"/>
      <c r="F874" s="26"/>
      <c r="AV874" s="27"/>
      <c r="AW874" s="27"/>
      <c r="AX874" s="27"/>
      <c r="AY874" s="27"/>
      <c r="AZ874" s="27"/>
      <c r="BA874" s="27"/>
      <c r="BB874" s="26"/>
      <c r="BC874" s="27"/>
      <c r="BD874" s="26"/>
      <c r="BE874" s="27"/>
      <c r="BF874" s="26"/>
      <c r="BH874" s="26"/>
      <c r="BI874" s="26"/>
      <c r="BJ874" s="26"/>
      <c r="BK874" s="26"/>
    </row>
    <row r="875" spans="3:63" x14ac:dyDescent="0.2">
      <c r="C875" s="26"/>
      <c r="D875" s="26"/>
      <c r="E875" s="26"/>
      <c r="F875" s="26"/>
      <c r="AV875" s="27"/>
      <c r="AW875" s="27"/>
      <c r="AX875" s="27"/>
      <c r="AY875" s="27"/>
      <c r="AZ875" s="27"/>
      <c r="BA875" s="27"/>
      <c r="BB875" s="26"/>
      <c r="BC875" s="27"/>
      <c r="BD875" s="26"/>
      <c r="BE875" s="27"/>
      <c r="BF875" s="26"/>
      <c r="BH875" s="26"/>
      <c r="BI875" s="26"/>
      <c r="BJ875" s="26"/>
      <c r="BK875" s="26"/>
    </row>
    <row r="876" spans="3:63" x14ac:dyDescent="0.2">
      <c r="C876" s="26"/>
      <c r="D876" s="26"/>
      <c r="E876" s="26"/>
      <c r="F876" s="26"/>
      <c r="AV876" s="27"/>
      <c r="AW876" s="27"/>
      <c r="AX876" s="27"/>
      <c r="AY876" s="27"/>
      <c r="AZ876" s="27"/>
      <c r="BA876" s="27"/>
      <c r="BB876" s="26"/>
      <c r="BC876" s="27"/>
      <c r="BD876" s="26"/>
      <c r="BE876" s="27"/>
      <c r="BF876" s="26"/>
      <c r="BH876" s="26"/>
      <c r="BI876" s="26"/>
      <c r="BJ876" s="26"/>
      <c r="BK876" s="26"/>
    </row>
    <row r="877" spans="3:63" x14ac:dyDescent="0.2">
      <c r="C877" s="26"/>
      <c r="D877" s="26"/>
      <c r="E877" s="26"/>
      <c r="F877" s="26"/>
      <c r="AV877" s="27"/>
      <c r="AW877" s="27"/>
      <c r="AX877" s="27"/>
      <c r="AY877" s="27"/>
      <c r="AZ877" s="27"/>
      <c r="BA877" s="27"/>
      <c r="BB877" s="26"/>
      <c r="BC877" s="27"/>
      <c r="BD877" s="26"/>
      <c r="BE877" s="27"/>
      <c r="BF877" s="26"/>
      <c r="BH877" s="26"/>
      <c r="BI877" s="26"/>
      <c r="BJ877" s="26"/>
      <c r="BK877" s="26"/>
    </row>
    <row r="878" spans="3:63" x14ac:dyDescent="0.2">
      <c r="C878" s="26"/>
      <c r="D878" s="26"/>
      <c r="E878" s="26"/>
      <c r="F878" s="26"/>
      <c r="AV878" s="27"/>
      <c r="AW878" s="27"/>
      <c r="AX878" s="27"/>
      <c r="AY878" s="27"/>
      <c r="AZ878" s="27"/>
      <c r="BA878" s="27"/>
      <c r="BB878" s="26"/>
      <c r="BC878" s="27"/>
      <c r="BD878" s="26"/>
      <c r="BE878" s="27"/>
      <c r="BF878" s="26"/>
      <c r="BH878" s="26"/>
      <c r="BI878" s="26"/>
      <c r="BJ878" s="26"/>
      <c r="BK878" s="26"/>
    </row>
    <row r="879" spans="3:63" x14ac:dyDescent="0.2">
      <c r="C879" s="26"/>
      <c r="D879" s="26"/>
      <c r="E879" s="26"/>
      <c r="F879" s="26"/>
      <c r="AV879" s="27"/>
      <c r="AW879" s="27"/>
      <c r="AX879" s="27"/>
      <c r="AY879" s="27"/>
      <c r="AZ879" s="27"/>
      <c r="BA879" s="27"/>
      <c r="BB879" s="26"/>
      <c r="BC879" s="27"/>
      <c r="BD879" s="26"/>
      <c r="BE879" s="27"/>
      <c r="BF879" s="26"/>
      <c r="BH879" s="26"/>
      <c r="BI879" s="26"/>
      <c r="BJ879" s="26"/>
      <c r="BK879" s="26"/>
    </row>
    <row r="880" spans="3:63" x14ac:dyDescent="0.2">
      <c r="C880" s="26"/>
      <c r="D880" s="26"/>
      <c r="E880" s="26"/>
      <c r="F880" s="26"/>
      <c r="AV880" s="27"/>
      <c r="AW880" s="27"/>
      <c r="AX880" s="27"/>
      <c r="AY880" s="27"/>
      <c r="AZ880" s="27"/>
      <c r="BA880" s="27"/>
      <c r="BB880" s="26"/>
      <c r="BC880" s="27"/>
      <c r="BD880" s="26"/>
      <c r="BE880" s="27"/>
      <c r="BF880" s="26"/>
      <c r="BH880" s="26"/>
      <c r="BI880" s="26"/>
      <c r="BJ880" s="26"/>
      <c r="BK880" s="26"/>
    </row>
    <row r="881" spans="3:63" x14ac:dyDescent="0.2">
      <c r="C881" s="26"/>
      <c r="D881" s="26"/>
      <c r="E881" s="26"/>
      <c r="F881" s="26"/>
      <c r="AV881" s="27"/>
      <c r="AW881" s="27"/>
      <c r="AX881" s="27"/>
      <c r="AY881" s="27"/>
      <c r="AZ881" s="27"/>
      <c r="BA881" s="27"/>
      <c r="BB881" s="26"/>
      <c r="BC881" s="27"/>
      <c r="BD881" s="26"/>
      <c r="BE881" s="27"/>
      <c r="BF881" s="26"/>
      <c r="BH881" s="26"/>
      <c r="BI881" s="26"/>
      <c r="BJ881" s="26"/>
      <c r="BK881" s="26"/>
    </row>
    <row r="882" spans="3:63" x14ac:dyDescent="0.2">
      <c r="C882" s="26"/>
      <c r="D882" s="26"/>
      <c r="E882" s="26"/>
      <c r="F882" s="26"/>
      <c r="AV882" s="27"/>
      <c r="AW882" s="27"/>
      <c r="AX882" s="27"/>
      <c r="AY882" s="27"/>
      <c r="AZ882" s="27"/>
      <c r="BA882" s="27"/>
      <c r="BB882" s="26"/>
      <c r="BC882" s="27"/>
      <c r="BD882" s="26"/>
      <c r="BE882" s="27"/>
      <c r="BF882" s="26"/>
      <c r="BH882" s="26"/>
      <c r="BI882" s="26"/>
      <c r="BJ882" s="26"/>
      <c r="BK882" s="26"/>
    </row>
    <row r="883" spans="3:63" x14ac:dyDescent="0.2">
      <c r="C883" s="26"/>
      <c r="D883" s="26"/>
      <c r="E883" s="26"/>
      <c r="F883" s="26"/>
      <c r="AV883" s="27"/>
      <c r="AW883" s="27"/>
      <c r="AX883" s="27"/>
      <c r="AY883" s="27"/>
      <c r="AZ883" s="27"/>
      <c r="BA883" s="27"/>
      <c r="BB883" s="26"/>
      <c r="BC883" s="27"/>
      <c r="BD883" s="26"/>
      <c r="BE883" s="27"/>
      <c r="BF883" s="26"/>
      <c r="BH883" s="26"/>
      <c r="BI883" s="26"/>
      <c r="BJ883" s="26"/>
      <c r="BK883" s="26"/>
    </row>
    <row r="884" spans="3:63" x14ac:dyDescent="0.2">
      <c r="C884" s="26"/>
      <c r="D884" s="26"/>
      <c r="E884" s="26"/>
      <c r="F884" s="26"/>
      <c r="AV884" s="27"/>
      <c r="AW884" s="27"/>
      <c r="AX884" s="27"/>
      <c r="AY884" s="27"/>
      <c r="AZ884" s="27"/>
      <c r="BA884" s="27"/>
      <c r="BB884" s="26"/>
      <c r="BC884" s="27"/>
      <c r="BD884" s="26"/>
      <c r="BE884" s="27"/>
      <c r="BF884" s="26"/>
      <c r="BH884" s="26"/>
      <c r="BI884" s="26"/>
      <c r="BJ884" s="26"/>
      <c r="BK884" s="26"/>
    </row>
    <row r="885" spans="3:63" x14ac:dyDescent="0.2">
      <c r="C885" s="26"/>
      <c r="D885" s="26"/>
      <c r="E885" s="26"/>
      <c r="F885" s="26"/>
      <c r="AV885" s="27"/>
      <c r="AW885" s="27"/>
      <c r="AX885" s="27"/>
      <c r="AY885" s="27"/>
      <c r="AZ885" s="27"/>
      <c r="BA885" s="27"/>
      <c r="BB885" s="26"/>
      <c r="BC885" s="27"/>
      <c r="BD885" s="26"/>
      <c r="BE885" s="27"/>
      <c r="BF885" s="26"/>
      <c r="BH885" s="26"/>
      <c r="BI885" s="26"/>
      <c r="BJ885" s="26"/>
      <c r="BK885" s="26"/>
    </row>
    <row r="886" spans="3:63" x14ac:dyDescent="0.2">
      <c r="C886" s="26"/>
      <c r="D886" s="26"/>
      <c r="E886" s="26"/>
      <c r="F886" s="26"/>
      <c r="AV886" s="27"/>
      <c r="AW886" s="27"/>
      <c r="AX886" s="27"/>
      <c r="AY886" s="27"/>
      <c r="AZ886" s="27"/>
      <c r="BA886" s="27"/>
      <c r="BB886" s="26"/>
      <c r="BC886" s="27"/>
      <c r="BD886" s="26"/>
      <c r="BE886" s="27"/>
      <c r="BF886" s="26"/>
      <c r="BH886" s="26"/>
      <c r="BI886" s="26"/>
      <c r="BJ886" s="26"/>
      <c r="BK886" s="26"/>
    </row>
    <row r="887" spans="3:63" x14ac:dyDescent="0.2">
      <c r="C887" s="26"/>
      <c r="D887" s="26"/>
      <c r="E887" s="26"/>
      <c r="F887" s="26"/>
      <c r="AV887" s="27"/>
      <c r="AW887" s="27"/>
      <c r="AX887" s="27"/>
      <c r="AY887" s="27"/>
      <c r="AZ887" s="27"/>
      <c r="BA887" s="27"/>
      <c r="BB887" s="26"/>
      <c r="BC887" s="27"/>
      <c r="BD887" s="26"/>
      <c r="BE887" s="27"/>
      <c r="BF887" s="26"/>
      <c r="BH887" s="26"/>
      <c r="BI887" s="26"/>
      <c r="BJ887" s="26"/>
      <c r="BK887" s="26"/>
    </row>
    <row r="888" spans="3:63" x14ac:dyDescent="0.2">
      <c r="C888" s="26"/>
      <c r="D888" s="26"/>
      <c r="E888" s="26"/>
      <c r="F888" s="26"/>
      <c r="AV888" s="27"/>
      <c r="AW888" s="27"/>
      <c r="AX888" s="27"/>
      <c r="AY888" s="27"/>
      <c r="AZ888" s="27"/>
      <c r="BA888" s="27"/>
      <c r="BB888" s="26"/>
      <c r="BC888" s="27"/>
      <c r="BD888" s="26"/>
      <c r="BE888" s="27"/>
      <c r="BF888" s="26"/>
      <c r="BH888" s="26"/>
      <c r="BI888" s="26"/>
      <c r="BJ888" s="26"/>
      <c r="BK888" s="26"/>
    </row>
    <row r="889" spans="3:63" x14ac:dyDescent="0.2">
      <c r="C889" s="26"/>
      <c r="D889" s="26"/>
      <c r="E889" s="26"/>
      <c r="F889" s="26"/>
      <c r="AV889" s="27"/>
      <c r="AW889" s="27"/>
      <c r="AX889" s="27"/>
      <c r="AY889" s="27"/>
      <c r="AZ889" s="27"/>
      <c r="BA889" s="27"/>
      <c r="BB889" s="26"/>
      <c r="BC889" s="27"/>
      <c r="BD889" s="26"/>
      <c r="BE889" s="27"/>
      <c r="BF889" s="26"/>
      <c r="BH889" s="26"/>
      <c r="BI889" s="26"/>
      <c r="BJ889" s="26"/>
      <c r="BK889" s="26"/>
    </row>
    <row r="890" spans="3:63" x14ac:dyDescent="0.2">
      <c r="C890" s="26"/>
      <c r="D890" s="26"/>
      <c r="E890" s="26"/>
      <c r="F890" s="26"/>
      <c r="AV890" s="27"/>
      <c r="AW890" s="27"/>
      <c r="AX890" s="27"/>
      <c r="AY890" s="27"/>
      <c r="AZ890" s="27"/>
      <c r="BA890" s="27"/>
      <c r="BB890" s="26"/>
      <c r="BC890" s="27"/>
      <c r="BD890" s="26"/>
      <c r="BE890" s="27"/>
      <c r="BF890" s="26"/>
      <c r="BH890" s="26"/>
      <c r="BI890" s="26"/>
      <c r="BJ890" s="26"/>
      <c r="BK890" s="26"/>
    </row>
    <row r="891" spans="3:63" x14ac:dyDescent="0.2">
      <c r="C891" s="26"/>
      <c r="D891" s="26"/>
      <c r="E891" s="26"/>
      <c r="F891" s="26"/>
      <c r="AV891" s="27"/>
      <c r="AW891" s="27"/>
      <c r="AX891" s="27"/>
      <c r="AY891" s="27"/>
      <c r="AZ891" s="27"/>
      <c r="BA891" s="27"/>
      <c r="BB891" s="26"/>
      <c r="BC891" s="27"/>
      <c r="BD891" s="26"/>
      <c r="BE891" s="27"/>
      <c r="BF891" s="26"/>
      <c r="BH891" s="26"/>
      <c r="BI891" s="26"/>
      <c r="BJ891" s="26"/>
      <c r="BK891" s="26"/>
    </row>
    <row r="892" spans="3:63" x14ac:dyDescent="0.2">
      <c r="C892" s="26"/>
      <c r="D892" s="26"/>
      <c r="E892" s="26"/>
      <c r="F892" s="26"/>
      <c r="AV892" s="27"/>
      <c r="AW892" s="27"/>
      <c r="AX892" s="27"/>
      <c r="AY892" s="27"/>
      <c r="AZ892" s="27"/>
      <c r="BA892" s="27"/>
      <c r="BB892" s="26"/>
      <c r="BC892" s="27"/>
      <c r="BD892" s="26"/>
      <c r="BE892" s="27"/>
      <c r="BF892" s="26"/>
      <c r="BH892" s="26"/>
      <c r="BI892" s="26"/>
      <c r="BJ892" s="26"/>
      <c r="BK892" s="26"/>
    </row>
    <row r="893" spans="3:63" x14ac:dyDescent="0.2">
      <c r="C893" s="26"/>
      <c r="D893" s="26"/>
      <c r="E893" s="26"/>
      <c r="F893" s="26"/>
      <c r="AV893" s="27"/>
      <c r="AW893" s="27"/>
      <c r="AX893" s="27"/>
      <c r="AY893" s="27"/>
      <c r="AZ893" s="27"/>
      <c r="BA893" s="27"/>
      <c r="BB893" s="26"/>
      <c r="BC893" s="27"/>
      <c r="BD893" s="26"/>
      <c r="BE893" s="27"/>
      <c r="BF893" s="26"/>
      <c r="BH893" s="26"/>
      <c r="BI893" s="26"/>
      <c r="BJ893" s="26"/>
      <c r="BK893" s="26"/>
    </row>
    <row r="894" spans="3:63" x14ac:dyDescent="0.2">
      <c r="C894" s="26"/>
      <c r="D894" s="26"/>
      <c r="E894" s="26"/>
      <c r="F894" s="26"/>
      <c r="AV894" s="27"/>
      <c r="AW894" s="27"/>
      <c r="AX894" s="27"/>
      <c r="AY894" s="27"/>
      <c r="AZ894" s="27"/>
      <c r="BA894" s="27"/>
      <c r="BB894" s="26"/>
      <c r="BC894" s="27"/>
      <c r="BD894" s="26"/>
      <c r="BE894" s="27"/>
      <c r="BF894" s="26"/>
      <c r="BH894" s="26"/>
      <c r="BI894" s="26"/>
      <c r="BJ894" s="26"/>
      <c r="BK894" s="26"/>
    </row>
    <row r="895" spans="3:63" x14ac:dyDescent="0.2">
      <c r="C895" s="26"/>
      <c r="D895" s="26"/>
      <c r="E895" s="26"/>
      <c r="F895" s="26"/>
      <c r="AV895" s="27"/>
      <c r="AW895" s="27"/>
      <c r="AX895" s="27"/>
      <c r="AY895" s="27"/>
      <c r="AZ895" s="27"/>
      <c r="BA895" s="27"/>
      <c r="BB895" s="26"/>
      <c r="BC895" s="27"/>
      <c r="BD895" s="26"/>
      <c r="BE895" s="27"/>
      <c r="BF895" s="26"/>
      <c r="BH895" s="26"/>
      <c r="BI895" s="26"/>
      <c r="BJ895" s="26"/>
      <c r="BK895" s="26"/>
    </row>
    <row r="896" spans="3:63" x14ac:dyDescent="0.2">
      <c r="C896" s="26"/>
      <c r="D896" s="26"/>
      <c r="E896" s="26"/>
      <c r="F896" s="26"/>
      <c r="AV896" s="27"/>
      <c r="AW896" s="27"/>
      <c r="AX896" s="27"/>
      <c r="AY896" s="27"/>
      <c r="AZ896" s="27"/>
      <c r="BA896" s="27"/>
      <c r="BB896" s="26"/>
      <c r="BC896" s="27"/>
      <c r="BD896" s="26"/>
      <c r="BE896" s="27"/>
      <c r="BF896" s="26"/>
      <c r="BH896" s="26"/>
      <c r="BI896" s="26"/>
      <c r="BJ896" s="26"/>
      <c r="BK896" s="26"/>
    </row>
    <row r="897" spans="3:63" x14ac:dyDescent="0.2">
      <c r="C897" s="26"/>
      <c r="D897" s="26"/>
      <c r="E897" s="26"/>
      <c r="F897" s="26"/>
      <c r="AV897" s="27"/>
      <c r="AW897" s="27"/>
      <c r="AX897" s="27"/>
      <c r="AY897" s="27"/>
      <c r="AZ897" s="27"/>
      <c r="BA897" s="27"/>
      <c r="BB897" s="26"/>
      <c r="BC897" s="27"/>
      <c r="BD897" s="26"/>
      <c r="BE897" s="27"/>
      <c r="BF897" s="26"/>
      <c r="BH897" s="26"/>
      <c r="BI897" s="26"/>
      <c r="BJ897" s="26"/>
      <c r="BK897" s="26"/>
    </row>
    <row r="898" spans="3:63" x14ac:dyDescent="0.2">
      <c r="C898" s="26"/>
      <c r="D898" s="26"/>
      <c r="E898" s="26"/>
      <c r="F898" s="26"/>
      <c r="AV898" s="27"/>
      <c r="AW898" s="27"/>
      <c r="AX898" s="27"/>
      <c r="AY898" s="27"/>
      <c r="AZ898" s="27"/>
      <c r="BA898" s="27"/>
      <c r="BB898" s="26"/>
      <c r="BC898" s="27"/>
      <c r="BD898" s="26"/>
      <c r="BE898" s="27"/>
      <c r="BF898" s="26"/>
      <c r="BH898" s="26"/>
      <c r="BI898" s="26"/>
      <c r="BJ898" s="26"/>
      <c r="BK898" s="26"/>
    </row>
    <row r="899" spans="3:63" x14ac:dyDescent="0.2">
      <c r="C899" s="26"/>
      <c r="D899" s="26"/>
      <c r="E899" s="26"/>
      <c r="F899" s="26"/>
      <c r="AV899" s="27"/>
      <c r="AW899" s="27"/>
      <c r="AX899" s="27"/>
      <c r="AY899" s="27"/>
      <c r="AZ899" s="27"/>
      <c r="BA899" s="27"/>
      <c r="BB899" s="26"/>
      <c r="BC899" s="27"/>
      <c r="BD899" s="26"/>
      <c r="BE899" s="27"/>
      <c r="BF899" s="26"/>
      <c r="BH899" s="26"/>
      <c r="BI899" s="26"/>
      <c r="BJ899" s="26"/>
      <c r="BK899" s="26"/>
    </row>
    <row r="900" spans="3:63" x14ac:dyDescent="0.2">
      <c r="C900" s="26"/>
      <c r="D900" s="26"/>
      <c r="E900" s="26"/>
      <c r="F900" s="26"/>
      <c r="AV900" s="27"/>
      <c r="AW900" s="27"/>
      <c r="AX900" s="27"/>
      <c r="AY900" s="27"/>
      <c r="AZ900" s="27"/>
      <c r="BA900" s="27"/>
      <c r="BB900" s="26"/>
      <c r="BC900" s="27"/>
      <c r="BD900" s="26"/>
      <c r="BE900" s="27"/>
      <c r="BF900" s="26"/>
      <c r="BH900" s="26"/>
      <c r="BI900" s="26"/>
      <c r="BJ900" s="26"/>
      <c r="BK900" s="26"/>
    </row>
    <row r="901" spans="3:63" x14ac:dyDescent="0.2">
      <c r="C901" s="26"/>
      <c r="D901" s="26"/>
      <c r="E901" s="26"/>
      <c r="F901" s="26"/>
      <c r="AV901" s="27"/>
      <c r="AW901" s="27"/>
      <c r="AX901" s="27"/>
      <c r="AY901" s="27"/>
      <c r="AZ901" s="27"/>
      <c r="BA901" s="27"/>
      <c r="BB901" s="26"/>
      <c r="BC901" s="27"/>
      <c r="BD901" s="26"/>
      <c r="BE901" s="27"/>
      <c r="BF901" s="26"/>
      <c r="BH901" s="26"/>
      <c r="BI901" s="26"/>
      <c r="BJ901" s="26"/>
      <c r="BK901" s="26"/>
    </row>
    <row r="902" spans="3:63" x14ac:dyDescent="0.2">
      <c r="C902" s="26"/>
      <c r="D902" s="26"/>
      <c r="E902" s="26"/>
      <c r="F902" s="26"/>
      <c r="AV902" s="27"/>
      <c r="AW902" s="27"/>
      <c r="AX902" s="27"/>
      <c r="AY902" s="27"/>
      <c r="AZ902" s="27"/>
      <c r="BA902" s="27"/>
      <c r="BB902" s="26"/>
      <c r="BC902" s="27"/>
      <c r="BD902" s="26"/>
      <c r="BE902" s="27"/>
      <c r="BF902" s="26"/>
      <c r="BH902" s="26"/>
      <c r="BI902" s="26"/>
      <c r="BJ902" s="26"/>
      <c r="BK902" s="26"/>
    </row>
    <row r="903" spans="3:63" x14ac:dyDescent="0.2">
      <c r="C903" s="26"/>
      <c r="D903" s="26"/>
      <c r="E903" s="26"/>
      <c r="F903" s="26"/>
      <c r="AV903" s="27"/>
      <c r="AW903" s="27"/>
      <c r="AX903" s="27"/>
      <c r="AY903" s="27"/>
      <c r="AZ903" s="27"/>
      <c r="BA903" s="27"/>
      <c r="BB903" s="26"/>
      <c r="BC903" s="27"/>
      <c r="BD903" s="26"/>
      <c r="BE903" s="27"/>
      <c r="BF903" s="26"/>
      <c r="BH903" s="26"/>
      <c r="BI903" s="26"/>
      <c r="BJ903" s="26"/>
      <c r="BK903" s="26"/>
    </row>
    <row r="904" spans="3:63" x14ac:dyDescent="0.2">
      <c r="C904" s="26"/>
      <c r="D904" s="26"/>
      <c r="E904" s="26"/>
      <c r="F904" s="26"/>
      <c r="AV904" s="27"/>
      <c r="AW904" s="27"/>
      <c r="AX904" s="27"/>
      <c r="AY904" s="27"/>
      <c r="AZ904" s="27"/>
      <c r="BA904" s="27"/>
      <c r="BB904" s="26"/>
      <c r="BC904" s="27"/>
      <c r="BD904" s="26"/>
      <c r="BE904" s="27"/>
      <c r="BF904" s="26"/>
      <c r="BH904" s="26"/>
      <c r="BI904" s="26"/>
      <c r="BJ904" s="26"/>
      <c r="BK904" s="26"/>
    </row>
    <row r="905" spans="3:63" x14ac:dyDescent="0.2">
      <c r="C905" s="26"/>
      <c r="D905" s="26"/>
      <c r="E905" s="26"/>
      <c r="F905" s="26"/>
      <c r="AV905" s="27"/>
      <c r="AW905" s="27"/>
      <c r="AX905" s="27"/>
      <c r="AY905" s="27"/>
      <c r="AZ905" s="27"/>
      <c r="BA905" s="27"/>
      <c r="BB905" s="26"/>
      <c r="BC905" s="27"/>
      <c r="BD905" s="26"/>
      <c r="BE905" s="27"/>
      <c r="BF905" s="26"/>
      <c r="BH905" s="26"/>
      <c r="BI905" s="26"/>
      <c r="BJ905" s="26"/>
      <c r="BK905" s="26"/>
    </row>
    <row r="906" spans="3:63" x14ac:dyDescent="0.2">
      <c r="C906" s="26"/>
      <c r="D906" s="26"/>
      <c r="E906" s="26"/>
      <c r="F906" s="26"/>
      <c r="AV906" s="27"/>
      <c r="AW906" s="27"/>
      <c r="AX906" s="27"/>
      <c r="AY906" s="27"/>
      <c r="AZ906" s="27"/>
      <c r="BA906" s="27"/>
      <c r="BB906" s="26"/>
      <c r="BC906" s="27"/>
      <c r="BD906" s="26"/>
      <c r="BE906" s="27"/>
      <c r="BF906" s="26"/>
      <c r="BH906" s="26"/>
      <c r="BI906" s="26"/>
      <c r="BJ906" s="26"/>
      <c r="BK906" s="26"/>
    </row>
    <row r="907" spans="3:63" x14ac:dyDescent="0.2">
      <c r="C907" s="26"/>
      <c r="D907" s="26"/>
      <c r="E907" s="26"/>
      <c r="F907" s="26"/>
      <c r="AV907" s="27"/>
      <c r="AW907" s="27"/>
      <c r="AX907" s="27"/>
      <c r="AY907" s="27"/>
      <c r="AZ907" s="27"/>
      <c r="BA907" s="27"/>
      <c r="BB907" s="26"/>
      <c r="BC907" s="27"/>
      <c r="BD907" s="26"/>
      <c r="BE907" s="27"/>
      <c r="BF907" s="26"/>
      <c r="BH907" s="26"/>
      <c r="BI907" s="26"/>
      <c r="BJ907" s="26"/>
      <c r="BK907" s="26"/>
    </row>
    <row r="908" spans="3:63" x14ac:dyDescent="0.2">
      <c r="C908" s="26"/>
      <c r="D908" s="26"/>
      <c r="E908" s="26"/>
      <c r="F908" s="26"/>
      <c r="AV908" s="27"/>
      <c r="AW908" s="27"/>
      <c r="AX908" s="27"/>
      <c r="AY908" s="27"/>
      <c r="AZ908" s="27"/>
      <c r="BA908" s="27"/>
      <c r="BB908" s="26"/>
      <c r="BC908" s="27"/>
      <c r="BD908" s="26"/>
      <c r="BE908" s="27"/>
      <c r="BF908" s="26"/>
      <c r="BH908" s="26"/>
      <c r="BI908" s="26"/>
      <c r="BJ908" s="26"/>
      <c r="BK908" s="26"/>
    </row>
    <row r="909" spans="3:63" x14ac:dyDescent="0.2">
      <c r="C909" s="26"/>
      <c r="D909" s="26"/>
      <c r="E909" s="26"/>
      <c r="F909" s="26"/>
      <c r="AV909" s="27"/>
      <c r="AW909" s="27"/>
      <c r="AX909" s="27"/>
      <c r="AY909" s="27"/>
      <c r="AZ909" s="27"/>
      <c r="BA909" s="27"/>
      <c r="BB909" s="26"/>
      <c r="BC909" s="27"/>
      <c r="BD909" s="26"/>
      <c r="BE909" s="27"/>
      <c r="BF909" s="26"/>
      <c r="BH909" s="26"/>
      <c r="BI909" s="26"/>
      <c r="BJ909" s="26"/>
      <c r="BK909" s="26"/>
    </row>
    <row r="910" spans="3:63" x14ac:dyDescent="0.2">
      <c r="C910" s="26"/>
      <c r="D910" s="26"/>
      <c r="E910" s="26"/>
      <c r="F910" s="26"/>
      <c r="AV910" s="27"/>
      <c r="AW910" s="27"/>
      <c r="AX910" s="27"/>
      <c r="AY910" s="27"/>
      <c r="AZ910" s="27"/>
      <c r="BA910" s="27"/>
      <c r="BB910" s="26"/>
      <c r="BC910" s="27"/>
      <c r="BD910" s="26"/>
      <c r="BE910" s="27"/>
      <c r="BF910" s="26"/>
      <c r="BH910" s="26"/>
      <c r="BI910" s="26"/>
      <c r="BJ910" s="26"/>
      <c r="BK910" s="26"/>
    </row>
    <row r="911" spans="3:63" x14ac:dyDescent="0.2">
      <c r="C911" s="26"/>
      <c r="D911" s="26"/>
      <c r="E911" s="26"/>
      <c r="F911" s="26"/>
      <c r="AV911" s="27"/>
      <c r="AW911" s="27"/>
      <c r="AX911" s="27"/>
      <c r="AY911" s="27"/>
      <c r="AZ911" s="27"/>
      <c r="BA911" s="27"/>
      <c r="BB911" s="26"/>
      <c r="BC911" s="27"/>
      <c r="BD911" s="26"/>
      <c r="BE911" s="27"/>
      <c r="BF911" s="26"/>
      <c r="BH911" s="26"/>
      <c r="BI911" s="26"/>
      <c r="BJ911" s="26"/>
      <c r="BK911" s="26"/>
    </row>
    <row r="912" spans="3:63" x14ac:dyDescent="0.2">
      <c r="C912" s="26"/>
      <c r="D912" s="26"/>
      <c r="E912" s="26"/>
      <c r="F912" s="26"/>
      <c r="AV912" s="27"/>
      <c r="AW912" s="27"/>
      <c r="AX912" s="27"/>
      <c r="AY912" s="27"/>
      <c r="AZ912" s="27"/>
      <c r="BA912" s="27"/>
      <c r="BB912" s="26"/>
      <c r="BC912" s="27"/>
      <c r="BD912" s="26"/>
      <c r="BE912" s="27"/>
      <c r="BF912" s="26"/>
      <c r="BH912" s="26"/>
      <c r="BI912" s="26"/>
      <c r="BJ912" s="26"/>
      <c r="BK912" s="26"/>
    </row>
    <row r="913" spans="3:63" x14ac:dyDescent="0.2">
      <c r="C913" s="26"/>
      <c r="D913" s="26"/>
      <c r="E913" s="26"/>
      <c r="F913" s="26"/>
      <c r="AV913" s="27"/>
      <c r="AW913" s="27"/>
      <c r="AX913" s="27"/>
      <c r="AY913" s="27"/>
      <c r="AZ913" s="27"/>
      <c r="BA913" s="27"/>
      <c r="BB913" s="26"/>
      <c r="BC913" s="27"/>
      <c r="BD913" s="26"/>
      <c r="BE913" s="27"/>
      <c r="BF913" s="26"/>
      <c r="BH913" s="26"/>
      <c r="BI913" s="26"/>
      <c r="BJ913" s="26"/>
      <c r="BK913" s="26"/>
    </row>
    <row r="914" spans="3:63" x14ac:dyDescent="0.2">
      <c r="C914" s="26"/>
      <c r="D914" s="26"/>
      <c r="E914" s="26"/>
      <c r="F914" s="26"/>
      <c r="AV914" s="27"/>
      <c r="AW914" s="27"/>
      <c r="AX914" s="27"/>
      <c r="AY914" s="27"/>
      <c r="AZ914" s="27"/>
      <c r="BA914" s="27"/>
      <c r="BB914" s="26"/>
      <c r="BC914" s="27"/>
      <c r="BD914" s="26"/>
      <c r="BE914" s="27"/>
      <c r="BF914" s="26"/>
      <c r="BH914" s="26"/>
      <c r="BI914" s="26"/>
      <c r="BJ914" s="26"/>
      <c r="BK914" s="26"/>
    </row>
    <row r="915" spans="3:63" x14ac:dyDescent="0.2">
      <c r="C915" s="26"/>
      <c r="D915" s="26"/>
      <c r="E915" s="26"/>
      <c r="F915" s="26"/>
      <c r="AV915" s="27"/>
      <c r="AW915" s="27"/>
      <c r="AX915" s="27"/>
      <c r="AY915" s="27"/>
      <c r="AZ915" s="27"/>
      <c r="BA915" s="27"/>
      <c r="BB915" s="26"/>
      <c r="BC915" s="27"/>
      <c r="BD915" s="26"/>
      <c r="BE915" s="27"/>
      <c r="BF915" s="26"/>
      <c r="BH915" s="26"/>
      <c r="BI915" s="26"/>
      <c r="BJ915" s="26"/>
      <c r="BK915" s="26"/>
    </row>
    <row r="916" spans="3:63" x14ac:dyDescent="0.2">
      <c r="C916" s="26"/>
      <c r="D916" s="26"/>
      <c r="E916" s="26"/>
      <c r="F916" s="26"/>
      <c r="AV916" s="27"/>
      <c r="AW916" s="27"/>
      <c r="AX916" s="27"/>
      <c r="AY916" s="27"/>
      <c r="AZ916" s="27"/>
      <c r="BA916" s="27"/>
      <c r="BB916" s="26"/>
      <c r="BC916" s="27"/>
      <c r="BD916" s="26"/>
      <c r="BE916" s="27"/>
      <c r="BF916" s="26"/>
      <c r="BH916" s="26"/>
      <c r="BI916" s="26"/>
      <c r="BJ916" s="26"/>
      <c r="BK916" s="26"/>
    </row>
    <row r="917" spans="3:63" x14ac:dyDescent="0.2">
      <c r="C917" s="26"/>
      <c r="D917" s="26"/>
      <c r="E917" s="26"/>
      <c r="F917" s="26"/>
      <c r="AV917" s="27"/>
      <c r="AW917" s="27"/>
      <c r="AX917" s="27"/>
      <c r="AY917" s="27"/>
      <c r="AZ917" s="27"/>
      <c r="BA917" s="27"/>
      <c r="BB917" s="26"/>
      <c r="BC917" s="27"/>
      <c r="BD917" s="26"/>
      <c r="BE917" s="27"/>
      <c r="BF917" s="26"/>
      <c r="BH917" s="26"/>
      <c r="BI917" s="26"/>
      <c r="BJ917" s="26"/>
      <c r="BK917" s="26"/>
    </row>
    <row r="918" spans="3:63" x14ac:dyDescent="0.2">
      <c r="C918" s="26"/>
      <c r="D918" s="26"/>
      <c r="E918" s="26"/>
      <c r="F918" s="26"/>
      <c r="AV918" s="27"/>
      <c r="AW918" s="27"/>
      <c r="AX918" s="27"/>
      <c r="AY918" s="27"/>
      <c r="AZ918" s="27"/>
      <c r="BA918" s="27"/>
      <c r="BB918" s="26"/>
      <c r="BC918" s="27"/>
      <c r="BD918" s="26"/>
      <c r="BE918" s="27"/>
      <c r="BF918" s="26"/>
      <c r="BH918" s="26"/>
      <c r="BI918" s="26"/>
      <c r="BJ918" s="26"/>
      <c r="BK918" s="26"/>
    </row>
    <row r="919" spans="3:63" x14ac:dyDescent="0.2">
      <c r="C919" s="26"/>
      <c r="D919" s="26"/>
      <c r="E919" s="26"/>
      <c r="F919" s="26"/>
      <c r="AV919" s="27"/>
      <c r="AW919" s="27"/>
      <c r="AX919" s="27"/>
      <c r="AY919" s="27"/>
      <c r="AZ919" s="27"/>
      <c r="BA919" s="27"/>
      <c r="BB919" s="26"/>
      <c r="BC919" s="27"/>
      <c r="BD919" s="26"/>
      <c r="BE919" s="27"/>
      <c r="BF919" s="26"/>
      <c r="BH919" s="26"/>
      <c r="BI919" s="26"/>
      <c r="BJ919" s="26"/>
      <c r="BK919" s="26"/>
    </row>
    <row r="920" spans="3:63" x14ac:dyDescent="0.2">
      <c r="C920" s="26"/>
      <c r="D920" s="26"/>
      <c r="E920" s="26"/>
      <c r="F920" s="26"/>
      <c r="AV920" s="27"/>
      <c r="AW920" s="27"/>
      <c r="AX920" s="27"/>
      <c r="AY920" s="27"/>
      <c r="AZ920" s="27"/>
      <c r="BA920" s="27"/>
      <c r="BB920" s="26"/>
      <c r="BC920" s="27"/>
      <c r="BD920" s="26"/>
      <c r="BE920" s="27"/>
      <c r="BF920" s="26"/>
      <c r="BH920" s="26"/>
      <c r="BI920" s="26"/>
      <c r="BJ920" s="26"/>
      <c r="BK920" s="26"/>
    </row>
    <row r="921" spans="3:63" x14ac:dyDescent="0.2">
      <c r="C921" s="26"/>
      <c r="D921" s="26"/>
      <c r="E921" s="26"/>
      <c r="F921" s="26"/>
      <c r="AV921" s="27"/>
      <c r="AW921" s="27"/>
      <c r="AX921" s="27"/>
      <c r="AY921" s="27"/>
      <c r="AZ921" s="27"/>
      <c r="BA921" s="27"/>
      <c r="BB921" s="26"/>
      <c r="BC921" s="27"/>
      <c r="BD921" s="26"/>
      <c r="BE921" s="27"/>
      <c r="BF921" s="26"/>
      <c r="BH921" s="26"/>
      <c r="BI921" s="26"/>
      <c r="BJ921" s="26"/>
      <c r="BK921" s="26"/>
    </row>
    <row r="922" spans="3:63" x14ac:dyDescent="0.2">
      <c r="C922" s="26"/>
      <c r="D922" s="26"/>
      <c r="E922" s="26"/>
      <c r="F922" s="26"/>
      <c r="AV922" s="27"/>
      <c r="AW922" s="27"/>
      <c r="AX922" s="27"/>
      <c r="AY922" s="27"/>
      <c r="AZ922" s="27"/>
      <c r="BA922" s="27"/>
      <c r="BB922" s="26"/>
      <c r="BC922" s="27"/>
      <c r="BD922" s="26"/>
      <c r="BE922" s="27"/>
      <c r="BF922" s="26"/>
      <c r="BH922" s="26"/>
      <c r="BI922" s="26"/>
      <c r="BJ922" s="26"/>
      <c r="BK922" s="26"/>
    </row>
    <row r="923" spans="3:63" x14ac:dyDescent="0.2">
      <c r="C923" s="26"/>
      <c r="D923" s="26"/>
      <c r="E923" s="26"/>
      <c r="F923" s="26"/>
      <c r="AV923" s="27"/>
      <c r="AW923" s="27"/>
      <c r="AX923" s="27"/>
      <c r="AY923" s="27"/>
      <c r="AZ923" s="27"/>
      <c r="BA923" s="27"/>
      <c r="BB923" s="26"/>
      <c r="BC923" s="27"/>
      <c r="BD923" s="26"/>
      <c r="BE923" s="27"/>
      <c r="BF923" s="26"/>
      <c r="BH923" s="26"/>
      <c r="BI923" s="26"/>
      <c r="BJ923" s="26"/>
      <c r="BK923" s="26"/>
    </row>
    <row r="924" spans="3:63" x14ac:dyDescent="0.2">
      <c r="C924" s="26"/>
      <c r="D924" s="26"/>
      <c r="E924" s="26"/>
      <c r="F924" s="26"/>
      <c r="AV924" s="27"/>
      <c r="AW924" s="27"/>
      <c r="AX924" s="27"/>
      <c r="AY924" s="27"/>
      <c r="AZ924" s="27"/>
      <c r="BA924" s="27"/>
      <c r="BB924" s="26"/>
      <c r="BC924" s="27"/>
      <c r="BD924" s="26"/>
      <c r="BE924" s="27"/>
      <c r="BF924" s="26"/>
      <c r="BH924" s="26"/>
      <c r="BI924" s="26"/>
      <c r="BJ924" s="26"/>
      <c r="BK924" s="26"/>
    </row>
    <row r="925" spans="3:63" x14ac:dyDescent="0.2">
      <c r="C925" s="26"/>
      <c r="D925" s="26"/>
      <c r="E925" s="26"/>
      <c r="F925" s="26"/>
      <c r="AV925" s="27"/>
      <c r="AW925" s="27"/>
      <c r="AX925" s="27"/>
      <c r="AY925" s="27"/>
      <c r="AZ925" s="27"/>
      <c r="BA925" s="27"/>
      <c r="BB925" s="26"/>
      <c r="BC925" s="27"/>
      <c r="BD925" s="26"/>
      <c r="BE925" s="27"/>
      <c r="BF925" s="26"/>
      <c r="BH925" s="26"/>
      <c r="BI925" s="26"/>
      <c r="BJ925" s="26"/>
      <c r="BK925" s="26"/>
    </row>
    <row r="926" spans="3:63" x14ac:dyDescent="0.2">
      <c r="C926" s="26"/>
      <c r="D926" s="26"/>
      <c r="E926" s="26"/>
      <c r="F926" s="26"/>
      <c r="AV926" s="27"/>
      <c r="AW926" s="27"/>
      <c r="AX926" s="27"/>
      <c r="AY926" s="27"/>
      <c r="AZ926" s="27"/>
      <c r="BA926" s="27"/>
      <c r="BB926" s="26"/>
      <c r="BC926" s="27"/>
      <c r="BD926" s="26"/>
      <c r="BE926" s="27"/>
      <c r="BF926" s="26"/>
      <c r="BH926" s="26"/>
      <c r="BI926" s="26"/>
      <c r="BJ926" s="26"/>
      <c r="BK926" s="26"/>
    </row>
    <row r="927" spans="3:63" x14ac:dyDescent="0.2">
      <c r="C927" s="26"/>
      <c r="D927" s="26"/>
      <c r="E927" s="26"/>
      <c r="F927" s="26"/>
      <c r="AV927" s="27"/>
      <c r="AW927" s="27"/>
      <c r="AX927" s="27"/>
      <c r="AY927" s="27"/>
      <c r="AZ927" s="27"/>
      <c r="BA927" s="27"/>
      <c r="BB927" s="26"/>
      <c r="BC927" s="27"/>
      <c r="BD927" s="26"/>
      <c r="BE927" s="27"/>
      <c r="BF927" s="26"/>
      <c r="BH927" s="26"/>
      <c r="BI927" s="26"/>
      <c r="BJ927" s="26"/>
      <c r="BK927" s="26"/>
    </row>
    <row r="928" spans="3:63" x14ac:dyDescent="0.2">
      <c r="C928" s="26"/>
      <c r="D928" s="26"/>
      <c r="E928" s="26"/>
      <c r="F928" s="26"/>
      <c r="AV928" s="27"/>
      <c r="AW928" s="27"/>
      <c r="AX928" s="27"/>
      <c r="AY928" s="27"/>
      <c r="AZ928" s="27"/>
      <c r="BA928" s="27"/>
      <c r="BB928" s="26"/>
      <c r="BC928" s="27"/>
      <c r="BD928" s="26"/>
      <c r="BE928" s="27"/>
      <c r="BF928" s="26"/>
      <c r="BH928" s="26"/>
      <c r="BI928" s="26"/>
      <c r="BJ928" s="26"/>
      <c r="BK928" s="26"/>
    </row>
    <row r="929" spans="3:63" x14ac:dyDescent="0.2">
      <c r="C929" s="26"/>
      <c r="D929" s="26"/>
      <c r="E929" s="26"/>
      <c r="F929" s="26"/>
      <c r="AV929" s="27"/>
      <c r="AW929" s="27"/>
      <c r="AX929" s="27"/>
      <c r="AY929" s="27"/>
      <c r="AZ929" s="27"/>
      <c r="BA929" s="27"/>
      <c r="BB929" s="26"/>
      <c r="BC929" s="27"/>
      <c r="BD929" s="26"/>
      <c r="BE929" s="27"/>
      <c r="BF929" s="26"/>
      <c r="BH929" s="26"/>
      <c r="BI929" s="26"/>
      <c r="BJ929" s="26"/>
      <c r="BK929" s="26"/>
    </row>
    <row r="930" spans="3:63" x14ac:dyDescent="0.2">
      <c r="C930" s="26"/>
      <c r="D930" s="26"/>
      <c r="E930" s="26"/>
      <c r="F930" s="26"/>
      <c r="AV930" s="27"/>
      <c r="AW930" s="27"/>
      <c r="AX930" s="27"/>
      <c r="AY930" s="27"/>
      <c r="AZ930" s="27"/>
      <c r="BA930" s="27"/>
      <c r="BB930" s="26"/>
      <c r="BC930" s="27"/>
      <c r="BD930" s="26"/>
      <c r="BE930" s="27"/>
      <c r="BF930" s="26"/>
      <c r="BH930" s="26"/>
      <c r="BI930" s="26"/>
      <c r="BJ930" s="26"/>
      <c r="BK930" s="26"/>
    </row>
    <row r="931" spans="3:63" x14ac:dyDescent="0.2">
      <c r="C931" s="26"/>
      <c r="D931" s="26"/>
      <c r="E931" s="26"/>
      <c r="F931" s="26"/>
      <c r="AV931" s="27"/>
      <c r="AW931" s="27"/>
      <c r="AX931" s="27"/>
      <c r="AY931" s="27"/>
      <c r="AZ931" s="27"/>
      <c r="BA931" s="27"/>
      <c r="BB931" s="26"/>
      <c r="BC931" s="27"/>
      <c r="BD931" s="26"/>
      <c r="BE931" s="27"/>
      <c r="BF931" s="26"/>
      <c r="BH931" s="26"/>
      <c r="BI931" s="26"/>
      <c r="BJ931" s="26"/>
      <c r="BK931" s="26"/>
    </row>
    <row r="932" spans="3:63" x14ac:dyDescent="0.2">
      <c r="C932" s="26"/>
      <c r="D932" s="26"/>
      <c r="E932" s="26"/>
      <c r="F932" s="26"/>
      <c r="AV932" s="27"/>
      <c r="AW932" s="27"/>
      <c r="AX932" s="27"/>
      <c r="AY932" s="27"/>
      <c r="AZ932" s="27"/>
      <c r="BA932" s="27"/>
      <c r="BB932" s="26"/>
      <c r="BC932" s="27"/>
      <c r="BD932" s="26"/>
      <c r="BE932" s="27"/>
      <c r="BF932" s="26"/>
      <c r="BH932" s="26"/>
      <c r="BI932" s="26"/>
      <c r="BJ932" s="26"/>
      <c r="BK932" s="26"/>
    </row>
    <row r="933" spans="3:63" x14ac:dyDescent="0.2">
      <c r="C933" s="26"/>
      <c r="D933" s="26"/>
      <c r="E933" s="26"/>
      <c r="F933" s="26"/>
      <c r="AV933" s="27"/>
      <c r="AW933" s="27"/>
      <c r="AX933" s="27"/>
      <c r="AY933" s="27"/>
      <c r="AZ933" s="27"/>
      <c r="BA933" s="27"/>
      <c r="BB933" s="26"/>
      <c r="BC933" s="27"/>
      <c r="BD933" s="26"/>
      <c r="BE933" s="27"/>
      <c r="BF933" s="26"/>
      <c r="BH933" s="26"/>
      <c r="BI933" s="26"/>
      <c r="BJ933" s="26"/>
      <c r="BK933" s="26"/>
    </row>
    <row r="934" spans="3:63" x14ac:dyDescent="0.2">
      <c r="C934" s="26"/>
      <c r="D934" s="26"/>
      <c r="E934" s="26"/>
      <c r="F934" s="26"/>
      <c r="AV934" s="27"/>
      <c r="AW934" s="27"/>
      <c r="AX934" s="27"/>
      <c r="AY934" s="27"/>
      <c r="AZ934" s="27"/>
      <c r="BA934" s="27"/>
      <c r="BB934" s="26"/>
      <c r="BC934" s="27"/>
      <c r="BD934" s="26"/>
      <c r="BE934" s="27"/>
      <c r="BF934" s="26"/>
      <c r="BH934" s="26"/>
      <c r="BI934" s="26"/>
      <c r="BJ934" s="26"/>
      <c r="BK934" s="26"/>
    </row>
    <row r="935" spans="3:63" x14ac:dyDescent="0.2">
      <c r="C935" s="26"/>
      <c r="D935" s="26"/>
      <c r="E935" s="26"/>
      <c r="F935" s="26"/>
      <c r="AV935" s="27"/>
      <c r="AW935" s="27"/>
      <c r="AX935" s="27"/>
      <c r="AY935" s="27"/>
      <c r="AZ935" s="27"/>
      <c r="BA935" s="27"/>
      <c r="BB935" s="26"/>
      <c r="BC935" s="27"/>
      <c r="BD935" s="26"/>
      <c r="BE935" s="27"/>
      <c r="BF935" s="26"/>
      <c r="BH935" s="26"/>
      <c r="BI935" s="26"/>
      <c r="BJ935" s="26"/>
      <c r="BK935" s="26"/>
    </row>
    <row r="936" spans="3:63" x14ac:dyDescent="0.2">
      <c r="C936" s="26"/>
      <c r="D936" s="26"/>
      <c r="E936" s="26"/>
      <c r="F936" s="26"/>
      <c r="AV936" s="27"/>
      <c r="AW936" s="27"/>
      <c r="AX936" s="27"/>
      <c r="AY936" s="27"/>
      <c r="AZ936" s="27"/>
      <c r="BA936" s="27"/>
      <c r="BB936" s="26"/>
      <c r="BC936" s="27"/>
      <c r="BD936" s="26"/>
      <c r="BE936" s="27"/>
      <c r="BF936" s="26"/>
      <c r="BH936" s="26"/>
      <c r="BI936" s="26"/>
      <c r="BJ936" s="26"/>
      <c r="BK936" s="26"/>
    </row>
    <row r="937" spans="3:63" x14ac:dyDescent="0.2">
      <c r="C937" s="26"/>
      <c r="D937" s="26"/>
      <c r="E937" s="26"/>
      <c r="F937" s="26"/>
      <c r="AV937" s="27"/>
      <c r="AW937" s="27"/>
      <c r="AX937" s="27"/>
      <c r="AY937" s="27"/>
      <c r="AZ937" s="27"/>
      <c r="BA937" s="27"/>
      <c r="BB937" s="26"/>
      <c r="BC937" s="27"/>
      <c r="BD937" s="26"/>
      <c r="BE937" s="27"/>
      <c r="BF937" s="26"/>
      <c r="BH937" s="26"/>
      <c r="BI937" s="26"/>
      <c r="BJ937" s="26"/>
      <c r="BK937" s="26"/>
    </row>
    <row r="938" spans="3:63" x14ac:dyDescent="0.2">
      <c r="C938" s="26"/>
      <c r="D938" s="26"/>
      <c r="E938" s="26"/>
      <c r="F938" s="26"/>
      <c r="AV938" s="27"/>
      <c r="AW938" s="27"/>
      <c r="AX938" s="27"/>
      <c r="AY938" s="27"/>
      <c r="AZ938" s="27"/>
      <c r="BA938" s="27"/>
      <c r="BB938" s="26"/>
      <c r="BC938" s="27"/>
      <c r="BD938" s="26"/>
      <c r="BE938" s="27"/>
      <c r="BF938" s="26"/>
      <c r="BH938" s="26"/>
      <c r="BI938" s="26"/>
      <c r="BJ938" s="26"/>
      <c r="BK938" s="26"/>
    </row>
    <row r="939" spans="3:63" x14ac:dyDescent="0.2">
      <c r="C939" s="26"/>
      <c r="D939" s="26"/>
      <c r="E939" s="26"/>
      <c r="F939" s="26"/>
      <c r="AV939" s="27"/>
      <c r="AW939" s="27"/>
      <c r="AX939" s="27"/>
      <c r="AY939" s="27"/>
      <c r="AZ939" s="27"/>
      <c r="BA939" s="27"/>
      <c r="BB939" s="26"/>
      <c r="BC939" s="27"/>
      <c r="BD939" s="26"/>
      <c r="BE939" s="27"/>
      <c r="BF939" s="26"/>
      <c r="BH939" s="26"/>
      <c r="BI939" s="26"/>
      <c r="BJ939" s="26"/>
      <c r="BK939" s="26"/>
    </row>
    <row r="940" spans="3:63" x14ac:dyDescent="0.2">
      <c r="C940" s="26"/>
      <c r="D940" s="26"/>
      <c r="E940" s="26"/>
      <c r="F940" s="26"/>
      <c r="AV940" s="27"/>
      <c r="AW940" s="27"/>
      <c r="AX940" s="27"/>
      <c r="AY940" s="27"/>
      <c r="AZ940" s="27"/>
      <c r="BA940" s="27"/>
      <c r="BB940" s="26"/>
      <c r="BC940" s="27"/>
      <c r="BD940" s="26"/>
      <c r="BE940" s="27"/>
      <c r="BF940" s="26"/>
      <c r="BH940" s="26"/>
      <c r="BI940" s="26"/>
      <c r="BJ940" s="26"/>
      <c r="BK940" s="26"/>
    </row>
    <row r="941" spans="3:63" x14ac:dyDescent="0.2">
      <c r="C941" s="26"/>
      <c r="D941" s="26"/>
      <c r="E941" s="26"/>
      <c r="F941" s="26"/>
      <c r="AV941" s="27"/>
      <c r="AW941" s="27"/>
      <c r="AX941" s="27"/>
      <c r="AY941" s="27"/>
      <c r="AZ941" s="27"/>
      <c r="BA941" s="27"/>
      <c r="BB941" s="26"/>
      <c r="BC941" s="27"/>
      <c r="BD941" s="26"/>
      <c r="BE941" s="27"/>
      <c r="BF941" s="26"/>
      <c r="BH941" s="26"/>
      <c r="BI941" s="26"/>
      <c r="BJ941" s="26"/>
      <c r="BK941" s="26"/>
    </row>
    <row r="942" spans="3:63" x14ac:dyDescent="0.2">
      <c r="C942" s="26"/>
      <c r="D942" s="26"/>
      <c r="E942" s="26"/>
      <c r="F942" s="26"/>
      <c r="AV942" s="27"/>
      <c r="AW942" s="27"/>
      <c r="AX942" s="27"/>
      <c r="AY942" s="27"/>
      <c r="AZ942" s="27"/>
      <c r="BA942" s="27"/>
      <c r="BB942" s="26"/>
      <c r="BC942" s="27"/>
      <c r="BD942" s="26"/>
      <c r="BE942" s="27"/>
      <c r="BF942" s="26"/>
      <c r="BH942" s="26"/>
      <c r="BI942" s="26"/>
      <c r="BJ942" s="26"/>
      <c r="BK942" s="26"/>
    </row>
    <row r="943" spans="3:63" x14ac:dyDescent="0.2">
      <c r="C943" s="26"/>
      <c r="D943" s="26"/>
      <c r="E943" s="26"/>
      <c r="F943" s="26"/>
      <c r="AV943" s="27"/>
      <c r="AW943" s="27"/>
      <c r="AX943" s="27"/>
      <c r="AY943" s="27"/>
      <c r="AZ943" s="27"/>
      <c r="BA943" s="27"/>
      <c r="BB943" s="26"/>
      <c r="BC943" s="27"/>
      <c r="BD943" s="26"/>
      <c r="BE943" s="27"/>
      <c r="BF943" s="26"/>
      <c r="BH943" s="26"/>
      <c r="BI943" s="26"/>
      <c r="BJ943" s="26"/>
      <c r="BK943" s="26"/>
    </row>
    <row r="944" spans="3:63" x14ac:dyDescent="0.2">
      <c r="C944" s="26"/>
      <c r="D944" s="26"/>
      <c r="E944" s="26"/>
      <c r="F944" s="26"/>
      <c r="AV944" s="27"/>
      <c r="AW944" s="27"/>
      <c r="AX944" s="27"/>
      <c r="AY944" s="27"/>
      <c r="AZ944" s="27"/>
      <c r="BA944" s="27"/>
      <c r="BB944" s="26"/>
      <c r="BC944" s="27"/>
      <c r="BD944" s="26"/>
      <c r="BE944" s="27"/>
      <c r="BF944" s="26"/>
      <c r="BH944" s="26"/>
      <c r="BI944" s="26"/>
      <c r="BJ944" s="26"/>
      <c r="BK944" s="26"/>
    </row>
    <row r="945" spans="3:63" x14ac:dyDescent="0.2">
      <c r="C945" s="26"/>
      <c r="D945" s="26"/>
      <c r="E945" s="26"/>
      <c r="F945" s="26"/>
      <c r="AV945" s="27"/>
      <c r="AW945" s="27"/>
      <c r="AX945" s="27"/>
      <c r="AY945" s="27"/>
      <c r="AZ945" s="27"/>
      <c r="BA945" s="27"/>
      <c r="BB945" s="26"/>
      <c r="BC945" s="27"/>
      <c r="BD945" s="26"/>
      <c r="BE945" s="27"/>
      <c r="BF945" s="26"/>
      <c r="BH945" s="26"/>
      <c r="BI945" s="26"/>
      <c r="BJ945" s="26"/>
      <c r="BK945" s="26"/>
    </row>
    <row r="946" spans="3:63" x14ac:dyDescent="0.2">
      <c r="C946" s="26"/>
      <c r="D946" s="26"/>
      <c r="E946" s="26"/>
      <c r="F946" s="26"/>
      <c r="AV946" s="27"/>
      <c r="AW946" s="27"/>
      <c r="AX946" s="27"/>
      <c r="AY946" s="27"/>
      <c r="AZ946" s="27"/>
      <c r="BA946" s="27"/>
      <c r="BB946" s="26"/>
      <c r="BC946" s="27"/>
      <c r="BD946" s="26"/>
      <c r="BE946" s="27"/>
      <c r="BF946" s="26"/>
      <c r="BH946" s="26"/>
      <c r="BI946" s="26"/>
      <c r="BJ946" s="26"/>
      <c r="BK946" s="26"/>
    </row>
    <row r="947" spans="3:63" x14ac:dyDescent="0.2">
      <c r="C947" s="26"/>
      <c r="D947" s="26"/>
      <c r="E947" s="26"/>
      <c r="F947" s="26"/>
      <c r="AV947" s="27"/>
      <c r="AW947" s="27"/>
      <c r="AX947" s="27"/>
      <c r="AY947" s="27"/>
      <c r="AZ947" s="27"/>
      <c r="BA947" s="27"/>
      <c r="BB947" s="26"/>
      <c r="BC947" s="27"/>
      <c r="BD947" s="26"/>
      <c r="BE947" s="27"/>
      <c r="BF947" s="26"/>
      <c r="BH947" s="26"/>
      <c r="BI947" s="26"/>
      <c r="BJ947" s="26"/>
      <c r="BK947" s="26"/>
    </row>
    <row r="948" spans="3:63" x14ac:dyDescent="0.2">
      <c r="C948" s="26"/>
      <c r="D948" s="26"/>
      <c r="E948" s="26"/>
      <c r="F948" s="26"/>
      <c r="AV948" s="27"/>
      <c r="AW948" s="27"/>
      <c r="AX948" s="27"/>
      <c r="AY948" s="27"/>
      <c r="AZ948" s="27"/>
      <c r="BA948" s="27"/>
      <c r="BB948" s="26"/>
      <c r="BC948" s="27"/>
      <c r="BD948" s="26"/>
      <c r="BE948" s="27"/>
      <c r="BF948" s="26"/>
      <c r="BH948" s="26"/>
      <c r="BI948" s="26"/>
      <c r="BJ948" s="26"/>
      <c r="BK948" s="26"/>
    </row>
    <row r="949" spans="3:63" x14ac:dyDescent="0.2">
      <c r="C949" s="26"/>
      <c r="D949" s="26"/>
      <c r="E949" s="26"/>
      <c r="F949" s="26"/>
      <c r="AV949" s="27"/>
      <c r="AW949" s="27"/>
      <c r="AX949" s="27"/>
      <c r="AY949" s="27"/>
      <c r="AZ949" s="27"/>
      <c r="BA949" s="27"/>
      <c r="BB949" s="26"/>
      <c r="BC949" s="27"/>
      <c r="BD949" s="26"/>
      <c r="BE949" s="27"/>
      <c r="BF949" s="26"/>
      <c r="BH949" s="26"/>
      <c r="BI949" s="26"/>
      <c r="BJ949" s="26"/>
      <c r="BK949" s="26"/>
    </row>
    <row r="950" spans="3:63" x14ac:dyDescent="0.2">
      <c r="C950" s="26"/>
      <c r="D950" s="26"/>
      <c r="E950" s="26"/>
      <c r="F950" s="26"/>
      <c r="AV950" s="27"/>
      <c r="AW950" s="27"/>
      <c r="AX950" s="27"/>
      <c r="AY950" s="27"/>
      <c r="AZ950" s="27"/>
      <c r="BA950" s="27"/>
      <c r="BB950" s="26"/>
      <c r="BC950" s="27"/>
      <c r="BD950" s="26"/>
      <c r="BE950" s="27"/>
      <c r="BF950" s="26"/>
      <c r="BH950" s="26"/>
      <c r="BI950" s="26"/>
      <c r="BJ950" s="26"/>
      <c r="BK950" s="26"/>
    </row>
    <row r="951" spans="3:63" x14ac:dyDescent="0.2">
      <c r="C951" s="26"/>
      <c r="D951" s="26"/>
      <c r="E951" s="26"/>
      <c r="F951" s="26"/>
      <c r="AV951" s="27"/>
      <c r="AW951" s="27"/>
      <c r="AX951" s="27"/>
      <c r="AY951" s="27"/>
      <c r="AZ951" s="27"/>
      <c r="BA951" s="27"/>
      <c r="BB951" s="26"/>
      <c r="BC951" s="27"/>
      <c r="BD951" s="26"/>
      <c r="BE951" s="27"/>
      <c r="BF951" s="26"/>
      <c r="BH951" s="26"/>
      <c r="BI951" s="26"/>
      <c r="BJ951" s="26"/>
      <c r="BK951" s="26"/>
    </row>
    <row r="952" spans="3:63" x14ac:dyDescent="0.2">
      <c r="C952" s="26"/>
      <c r="D952" s="26"/>
      <c r="E952" s="26"/>
      <c r="F952" s="26"/>
      <c r="AV952" s="27"/>
      <c r="AW952" s="27"/>
      <c r="AX952" s="27"/>
      <c r="AY952" s="27"/>
      <c r="AZ952" s="27"/>
      <c r="BA952" s="27"/>
      <c r="BB952" s="26"/>
      <c r="BC952" s="27"/>
      <c r="BD952" s="26"/>
      <c r="BE952" s="27"/>
      <c r="BF952" s="26"/>
      <c r="BH952" s="26"/>
      <c r="BI952" s="26"/>
      <c r="BJ952" s="26"/>
      <c r="BK952" s="26"/>
    </row>
    <row r="953" spans="3:63" x14ac:dyDescent="0.2">
      <c r="C953" s="26"/>
      <c r="D953" s="26"/>
      <c r="E953" s="26"/>
      <c r="F953" s="26"/>
      <c r="AV953" s="27"/>
      <c r="AW953" s="27"/>
      <c r="AX953" s="27"/>
      <c r="AY953" s="27"/>
      <c r="AZ953" s="27"/>
      <c r="BA953" s="27"/>
      <c r="BB953" s="26"/>
      <c r="BC953" s="27"/>
      <c r="BD953" s="26"/>
      <c r="BE953" s="27"/>
      <c r="BF953" s="26"/>
      <c r="BH953" s="26"/>
      <c r="BI953" s="26"/>
      <c r="BJ953" s="26"/>
      <c r="BK953" s="26"/>
    </row>
    <row r="954" spans="3:63" x14ac:dyDescent="0.2">
      <c r="C954" s="26"/>
      <c r="D954" s="26"/>
      <c r="E954" s="26"/>
      <c r="F954" s="26"/>
      <c r="AV954" s="27"/>
      <c r="AW954" s="27"/>
      <c r="AX954" s="27"/>
      <c r="AY954" s="27"/>
      <c r="AZ954" s="27"/>
      <c r="BA954" s="27"/>
      <c r="BB954" s="26"/>
      <c r="BC954" s="27"/>
      <c r="BD954" s="26"/>
      <c r="BE954" s="27"/>
      <c r="BF954" s="26"/>
      <c r="BH954" s="26"/>
      <c r="BI954" s="26"/>
      <c r="BJ954" s="26"/>
      <c r="BK954" s="26"/>
    </row>
    <row r="955" spans="3:63" x14ac:dyDescent="0.2">
      <c r="C955" s="26"/>
      <c r="D955" s="26"/>
      <c r="E955" s="26"/>
      <c r="F955" s="26"/>
      <c r="AV955" s="27"/>
      <c r="AW955" s="27"/>
      <c r="AX955" s="27"/>
      <c r="AY955" s="27"/>
      <c r="AZ955" s="27"/>
      <c r="BA955" s="27"/>
      <c r="BB955" s="26"/>
      <c r="BC955" s="27"/>
      <c r="BD955" s="26"/>
      <c r="BE955" s="27"/>
      <c r="BF955" s="26"/>
      <c r="BH955" s="26"/>
      <c r="BI955" s="26"/>
      <c r="BJ955" s="26"/>
      <c r="BK955" s="26"/>
    </row>
    <row r="956" spans="3:63" x14ac:dyDescent="0.2">
      <c r="C956" s="26"/>
      <c r="D956" s="26"/>
      <c r="E956" s="26"/>
      <c r="F956" s="26"/>
      <c r="AV956" s="27"/>
      <c r="AW956" s="27"/>
      <c r="AX956" s="27"/>
      <c r="AY956" s="27"/>
      <c r="AZ956" s="27"/>
      <c r="BA956" s="27"/>
      <c r="BB956" s="26"/>
      <c r="BC956" s="27"/>
      <c r="BD956" s="26"/>
      <c r="BE956" s="27"/>
      <c r="BF956" s="26"/>
      <c r="BH956" s="26"/>
      <c r="BI956" s="26"/>
      <c r="BJ956" s="26"/>
      <c r="BK956" s="26"/>
    </row>
    <row r="957" spans="3:63" x14ac:dyDescent="0.2">
      <c r="C957" s="26"/>
      <c r="D957" s="26"/>
      <c r="E957" s="26"/>
      <c r="F957" s="26"/>
      <c r="AV957" s="27"/>
      <c r="AW957" s="27"/>
      <c r="AX957" s="27"/>
      <c r="AY957" s="27"/>
      <c r="AZ957" s="27"/>
      <c r="BA957" s="27"/>
      <c r="BB957" s="26"/>
      <c r="BC957" s="27"/>
      <c r="BD957" s="26"/>
      <c r="BE957" s="27"/>
      <c r="BF957" s="26"/>
      <c r="BH957" s="26"/>
      <c r="BI957" s="26"/>
      <c r="BJ957" s="26"/>
      <c r="BK957" s="26"/>
    </row>
    <row r="958" spans="3:63" x14ac:dyDescent="0.2">
      <c r="C958" s="26"/>
      <c r="D958" s="26"/>
      <c r="E958" s="26"/>
      <c r="F958" s="26"/>
      <c r="AV958" s="27"/>
      <c r="AW958" s="27"/>
      <c r="AX958" s="27"/>
      <c r="AY958" s="27"/>
      <c r="AZ958" s="27"/>
      <c r="BA958" s="27"/>
      <c r="BB958" s="26"/>
      <c r="BC958" s="27"/>
      <c r="BD958" s="26"/>
      <c r="BE958" s="27"/>
      <c r="BF958" s="26"/>
      <c r="BH958" s="26"/>
      <c r="BI958" s="26"/>
      <c r="BJ958" s="26"/>
      <c r="BK958" s="26"/>
    </row>
    <row r="959" spans="3:63" x14ac:dyDescent="0.2">
      <c r="C959" s="26"/>
      <c r="D959" s="26"/>
      <c r="E959" s="26"/>
      <c r="F959" s="26"/>
      <c r="AV959" s="27"/>
      <c r="AW959" s="27"/>
      <c r="AX959" s="27"/>
      <c r="AY959" s="27"/>
      <c r="AZ959" s="27"/>
      <c r="BA959" s="27"/>
      <c r="BB959" s="26"/>
      <c r="BC959" s="27"/>
      <c r="BD959" s="26"/>
      <c r="BE959" s="27"/>
      <c r="BF959" s="26"/>
      <c r="BH959" s="26"/>
      <c r="BI959" s="26"/>
      <c r="BJ959" s="26"/>
      <c r="BK959" s="26"/>
    </row>
    <row r="960" spans="3:63" x14ac:dyDescent="0.2">
      <c r="C960" s="26"/>
      <c r="D960" s="26"/>
      <c r="E960" s="26"/>
      <c r="F960" s="26"/>
      <c r="AV960" s="27"/>
      <c r="AW960" s="27"/>
      <c r="AX960" s="27"/>
      <c r="AY960" s="27"/>
      <c r="AZ960" s="27"/>
      <c r="BA960" s="27"/>
      <c r="BB960" s="26"/>
      <c r="BC960" s="27"/>
      <c r="BD960" s="26"/>
      <c r="BE960" s="27"/>
      <c r="BF960" s="26"/>
      <c r="BH960" s="26"/>
      <c r="BI960" s="26"/>
      <c r="BJ960" s="26"/>
      <c r="BK960" s="26"/>
    </row>
    <row r="961" spans="3:63" x14ac:dyDescent="0.2">
      <c r="C961" s="26"/>
      <c r="D961" s="26"/>
      <c r="E961" s="26"/>
      <c r="F961" s="26"/>
      <c r="AV961" s="27"/>
      <c r="AW961" s="27"/>
      <c r="AX961" s="27"/>
      <c r="AY961" s="27"/>
      <c r="AZ961" s="27"/>
      <c r="BA961" s="27"/>
      <c r="BB961" s="26"/>
      <c r="BC961" s="27"/>
      <c r="BD961" s="26"/>
      <c r="BE961" s="27"/>
      <c r="BF961" s="26"/>
      <c r="BH961" s="26"/>
      <c r="BI961" s="26"/>
      <c r="BJ961" s="26"/>
      <c r="BK961" s="26"/>
    </row>
    <row r="962" spans="3:63" x14ac:dyDescent="0.2">
      <c r="C962" s="26"/>
      <c r="D962" s="26"/>
      <c r="E962" s="26"/>
      <c r="F962" s="26"/>
      <c r="AV962" s="27"/>
      <c r="AW962" s="27"/>
      <c r="AX962" s="27"/>
      <c r="AY962" s="27"/>
      <c r="AZ962" s="27"/>
      <c r="BA962" s="27"/>
      <c r="BB962" s="26"/>
      <c r="BC962" s="27"/>
      <c r="BD962" s="26"/>
      <c r="BE962" s="27"/>
      <c r="BF962" s="26"/>
      <c r="BH962" s="26"/>
      <c r="BI962" s="26"/>
      <c r="BJ962" s="26"/>
      <c r="BK962" s="26"/>
    </row>
    <row r="963" spans="3:63" x14ac:dyDescent="0.2">
      <c r="C963" s="26"/>
      <c r="D963" s="26"/>
      <c r="E963" s="26"/>
      <c r="F963" s="26"/>
      <c r="AV963" s="27"/>
      <c r="AW963" s="27"/>
      <c r="AX963" s="27"/>
      <c r="AY963" s="27"/>
      <c r="AZ963" s="27"/>
      <c r="BA963" s="27"/>
      <c r="BB963" s="26"/>
      <c r="BC963" s="27"/>
      <c r="BD963" s="26"/>
      <c r="BE963" s="27"/>
      <c r="BF963" s="26"/>
      <c r="BH963" s="26"/>
      <c r="BI963" s="26"/>
      <c r="BJ963" s="26"/>
      <c r="BK963" s="26"/>
    </row>
    <row r="964" spans="3:63" x14ac:dyDescent="0.2">
      <c r="C964" s="26"/>
      <c r="D964" s="26"/>
      <c r="E964" s="26"/>
      <c r="F964" s="26"/>
      <c r="AV964" s="27"/>
      <c r="AW964" s="27"/>
      <c r="AX964" s="27"/>
      <c r="AY964" s="27"/>
      <c r="AZ964" s="27"/>
      <c r="BA964" s="27"/>
      <c r="BB964" s="26"/>
      <c r="BC964" s="27"/>
      <c r="BD964" s="26"/>
      <c r="BE964" s="27"/>
      <c r="BF964" s="26"/>
      <c r="BH964" s="26"/>
      <c r="BI964" s="26"/>
      <c r="BJ964" s="26"/>
      <c r="BK964" s="26"/>
    </row>
    <row r="965" spans="3:63" x14ac:dyDescent="0.2">
      <c r="C965" s="26"/>
      <c r="D965" s="26"/>
      <c r="E965" s="26"/>
      <c r="F965" s="26"/>
      <c r="AV965" s="27"/>
      <c r="AW965" s="27"/>
      <c r="AX965" s="27"/>
      <c r="AY965" s="27"/>
      <c r="AZ965" s="27"/>
      <c r="BA965" s="27"/>
      <c r="BB965" s="26"/>
      <c r="BC965" s="27"/>
      <c r="BD965" s="26"/>
      <c r="BE965" s="27"/>
      <c r="BF965" s="26"/>
      <c r="BH965" s="26"/>
      <c r="BI965" s="26"/>
      <c r="BJ965" s="26"/>
      <c r="BK965" s="26"/>
    </row>
    <row r="966" spans="3:63" x14ac:dyDescent="0.2">
      <c r="C966" s="26"/>
      <c r="D966" s="26"/>
      <c r="E966" s="26"/>
      <c r="F966" s="26"/>
      <c r="AV966" s="27"/>
      <c r="AW966" s="27"/>
      <c r="AX966" s="27"/>
      <c r="AY966" s="27"/>
      <c r="AZ966" s="27"/>
      <c r="BA966" s="27"/>
      <c r="BB966" s="26"/>
      <c r="BC966" s="27"/>
      <c r="BD966" s="26"/>
      <c r="BE966" s="27"/>
      <c r="BF966" s="26"/>
      <c r="BH966" s="26"/>
      <c r="BI966" s="26"/>
      <c r="BJ966" s="26"/>
      <c r="BK966" s="26"/>
    </row>
    <row r="967" spans="3:63" x14ac:dyDescent="0.2">
      <c r="C967" s="26"/>
      <c r="D967" s="26"/>
      <c r="E967" s="26"/>
      <c r="F967" s="26"/>
      <c r="AV967" s="27"/>
      <c r="AW967" s="27"/>
      <c r="AX967" s="27"/>
      <c r="AY967" s="27"/>
      <c r="AZ967" s="27"/>
      <c r="BA967" s="27"/>
      <c r="BB967" s="26"/>
      <c r="BC967" s="27"/>
      <c r="BD967" s="26"/>
      <c r="BE967" s="27"/>
      <c r="BF967" s="26"/>
      <c r="BH967" s="26"/>
      <c r="BI967" s="26"/>
      <c r="BJ967" s="26"/>
      <c r="BK967" s="26"/>
    </row>
    <row r="968" spans="3:63" x14ac:dyDescent="0.2">
      <c r="C968" s="26"/>
      <c r="D968" s="26"/>
      <c r="E968" s="26"/>
      <c r="F968" s="26"/>
      <c r="AV968" s="27"/>
      <c r="AW968" s="27"/>
      <c r="AX968" s="27"/>
      <c r="AY968" s="27"/>
      <c r="AZ968" s="27"/>
      <c r="BA968" s="27"/>
      <c r="BB968" s="26"/>
      <c r="BC968" s="27"/>
      <c r="BD968" s="26"/>
      <c r="BE968" s="27"/>
      <c r="BF968" s="26"/>
      <c r="BH968" s="26"/>
      <c r="BI968" s="26"/>
      <c r="BJ968" s="26"/>
      <c r="BK968" s="26"/>
    </row>
    <row r="969" spans="3:63" x14ac:dyDescent="0.2">
      <c r="C969" s="26"/>
      <c r="D969" s="26"/>
      <c r="E969" s="26"/>
      <c r="F969" s="26"/>
      <c r="AV969" s="27"/>
      <c r="AW969" s="27"/>
      <c r="AX969" s="27"/>
      <c r="AY969" s="27"/>
      <c r="AZ969" s="27"/>
      <c r="BA969" s="27"/>
      <c r="BB969" s="26"/>
      <c r="BC969" s="27"/>
      <c r="BD969" s="26"/>
      <c r="BE969" s="27"/>
      <c r="BF969" s="26"/>
      <c r="BH969" s="26"/>
      <c r="BI969" s="26"/>
      <c r="BJ969" s="26"/>
      <c r="BK969" s="26"/>
    </row>
    <row r="970" spans="3:63" x14ac:dyDescent="0.2">
      <c r="C970" s="26"/>
      <c r="D970" s="26"/>
      <c r="E970" s="26"/>
      <c r="F970" s="26"/>
      <c r="AV970" s="27"/>
      <c r="AW970" s="27"/>
      <c r="AX970" s="27"/>
      <c r="AY970" s="27"/>
      <c r="AZ970" s="27"/>
      <c r="BA970" s="27"/>
      <c r="BB970" s="26"/>
      <c r="BC970" s="27"/>
      <c r="BD970" s="26"/>
      <c r="BE970" s="27"/>
      <c r="BF970" s="26"/>
      <c r="BH970" s="26"/>
      <c r="BI970" s="26"/>
      <c r="BJ970" s="26"/>
      <c r="BK970" s="26"/>
    </row>
    <row r="971" spans="3:63" x14ac:dyDescent="0.2">
      <c r="C971" s="26"/>
      <c r="D971" s="26"/>
      <c r="E971" s="26"/>
      <c r="F971" s="26"/>
      <c r="AV971" s="27"/>
      <c r="AW971" s="27"/>
      <c r="AX971" s="27"/>
      <c r="AY971" s="27"/>
      <c r="AZ971" s="27"/>
      <c r="BA971" s="27"/>
      <c r="BB971" s="26"/>
      <c r="BC971" s="27"/>
      <c r="BD971" s="26"/>
      <c r="BE971" s="27"/>
      <c r="BF971" s="26"/>
      <c r="BH971" s="26"/>
      <c r="BI971" s="26"/>
      <c r="BJ971" s="26"/>
      <c r="BK971" s="26"/>
    </row>
  </sheetData>
  <customSheetViews>
    <customSheetView guid="{E44E71C3-F2DB-4787-90CC-B0F1BDA00262}" scale="75" showPageBreaks="1" printArea="1" view="pageBreakPreview">
      <pane xSplit="1" ySplit="4" topLeftCell="BD5" activePane="bottomRight" state="frozen"/>
      <selection pane="bottomRight" activeCell="CW12" sqref="CW12"/>
      <colBreaks count="2" manualBreakCount="2">
        <brk id="30" max="34" man="1"/>
        <brk id="79" max="34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&amp;C&amp;"Arial,Bold"General Election Results - November 7, 2017
Prepared by the Office of Edward P. McGettigan, Atlantic County Clerk</oddHeader>
        <oddFooter>&amp;R&amp;11Page&amp;P</oddFooter>
      </headerFooter>
    </customSheetView>
    <customSheetView guid="{C3E722D0-E886-4AE8-B327-9CE20DCE1C01}" scale="75" showPageBreaks="1" printArea="1" view="pageBreakPreview">
      <pane xSplit="1" ySplit="5" topLeftCell="BR6" activePane="bottomRight" state="frozen"/>
      <selection pane="bottomRight" activeCell="CO16" sqref="CO16"/>
      <colBreaks count="4" manualBreakCount="4">
        <brk id="26" max="34" man="1"/>
        <brk id="53" max="37" man="1"/>
        <brk id="76" max="37" man="1"/>
        <brk id="97" max="37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&amp;C&amp;"Arial,Bold"&amp;12General Election Results - November 7, 2017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printArea="1" view="pageBreakPreview">
      <pane xSplit="1" ySplit="5" topLeftCell="B27" activePane="bottomRight" state="frozen"/>
      <selection pane="bottomRight" activeCell="A44" sqref="A44:IV44"/>
      <colBreaks count="2" manualBreakCount="2">
        <brk id="26" max="34" man="1"/>
        <brk id="45" max="34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&amp;C&amp;"Arial,Bold"&amp;12General Election Results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printArea="1" view="pageBreakPreview">
      <pane xSplit="1" ySplit="5" topLeftCell="B6" activePane="bottomRight" state="frozen"/>
      <selection pane="bottomRight" activeCell="L23" sqref="L23"/>
      <colBreaks count="2" manualBreakCount="2">
        <brk id="26" max="34" man="1"/>
        <brk id="45" max="34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&amp;C&amp;"Arial,Bold"&amp;12General Election Results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printArea="1" view="pageBreakPreview">
      <pane xSplit="1" ySplit="5" topLeftCell="B6" activePane="bottomRight" state="frozen"/>
      <selection pane="bottomRight" activeCell="C16" sqref="C16"/>
      <colBreaks count="4" manualBreakCount="4">
        <brk id="26" max="34" man="1"/>
        <brk id="53" max="37" man="1"/>
        <brk id="76" max="37" man="1"/>
        <brk id="97" max="37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&amp;C&amp;"Arial,Bold"&amp;12General Election Results - November 7, 2017
Prepared by the Office of Edward P. McGettigan, Atlantic County Clerk</oddHeader>
        <oddFooter>&amp;R&amp;11Page &amp;P</oddFooter>
      </headerFooter>
    </customSheetView>
  </customSheetViews>
  <mergeCells count="6">
    <mergeCell ref="AQ3:AS3"/>
    <mergeCell ref="AM3:AO3"/>
    <mergeCell ref="C3:Q3"/>
    <mergeCell ref="S3:AC3"/>
    <mergeCell ref="AI3:AK3"/>
    <mergeCell ref="AE3:AG3"/>
  </mergeCells>
  <phoneticPr fontId="0" type="noConversion"/>
  <hyperlinks>
    <hyperlink ref="A9" location="Absecon!A1" display="Absecon"/>
    <hyperlink ref="A10" location="'Atlantic City'!A1" display="Atlantic City"/>
    <hyperlink ref="A11" location="Brigantine!A1" display="Brigantine"/>
    <hyperlink ref="A12" location="'Buena Borough'!A1" display="Buena Borough"/>
    <hyperlink ref="A13" location="'Buena Vista'!A1" display="Buena Vista"/>
    <hyperlink ref="A14" location="'Corbin City'!A1" display="Corbin City"/>
    <hyperlink ref="A15" location="'Egg Harbor City'!A1" display="Egg Harbor City"/>
    <hyperlink ref="A16" location="'Egg Harbor Twp'!A1" display="Egg Harbor Twp."/>
    <hyperlink ref="A17" location="'Estell Manor'!A1" display="Estell Manor"/>
    <hyperlink ref="A18" location="Folsom!A1" display="Folsom"/>
    <hyperlink ref="A19" location="'Galloway Twp'!A1" display="Galloway Twp."/>
    <hyperlink ref="A20" location="'Hamilton Twp'!A1" display="Hamilton Twp."/>
    <hyperlink ref="A21" location="Hammonton!A1" display="Hammonton"/>
    <hyperlink ref="A22" location="Linwood!A1" display="Linwood"/>
    <hyperlink ref="A23" location="Longport!A1" display="Longport"/>
    <hyperlink ref="A24" location="Margate!A1" display="Margate"/>
    <hyperlink ref="A25" location="Mullica!A1" display="Mullica"/>
    <hyperlink ref="A26" location="Northfield!A1" display="Northfield"/>
    <hyperlink ref="A27" location="Pleasantville!A1" display="Pleasantville"/>
    <hyperlink ref="A28" location="'Port Republic'!A1" display="Port Republic"/>
    <hyperlink ref="A29" location="'Somers Point'!A1" display="Somers Point"/>
    <hyperlink ref="A30" location="Ventnor!A1" display="Ventnor"/>
    <hyperlink ref="A31" location="Weymouth!A1" display="Weymouth"/>
  </hyperlinks>
  <pageMargins left="0.75" right="0.75" top="1" bottom="1" header="0.5" footer="0.5"/>
  <pageSetup paperSize="5" scale="75" orientation="landscape" horizontalDpi="4294967294" verticalDpi="4294967294" r:id="rId6"/>
  <headerFooter alignWithMargins="0">
    <oddHeader>&amp;C&amp;"Arial,Bold"&amp;12General Election Results - November 6, 2018
Prepared by the Office of Edward P. McGettigan, Atlantic County Clerk</oddHeader>
    <oddFooter>&amp;R&amp;11Page &amp;P</oddFooter>
  </headerFooter>
  <colBreaks count="1" manualBreakCount="1">
    <brk id="29" max="37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DC34"/>
  <sheetViews>
    <sheetView zoomScale="75" zoomScaleNormal="75" zoomScaleSheetLayoutView="75" workbookViewId="0">
      <pane xSplit="1" ySplit="7" topLeftCell="H8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61" customWidth="1"/>
    <col min="2" max="2" width="1.7109375" style="37" customWidth="1"/>
    <col min="3" max="3" width="12.140625" style="63" customWidth="1"/>
    <col min="4" max="4" width="1.7109375" style="63" customWidth="1"/>
    <col min="5" max="5" width="11.140625" style="63" customWidth="1"/>
    <col min="6" max="6" width="1.7109375" style="63" customWidth="1"/>
    <col min="7" max="7" width="15.85546875" style="63" customWidth="1"/>
    <col min="8" max="8" width="1.7109375" style="63" customWidth="1"/>
    <col min="9" max="9" width="12.140625" style="63" customWidth="1"/>
    <col min="10" max="10" width="1.7109375" style="63" customWidth="1"/>
    <col min="11" max="11" width="15.85546875" style="63" customWidth="1"/>
    <col min="12" max="12" width="1.7109375" style="63" customWidth="1"/>
    <col min="13" max="13" width="12.140625" style="63" customWidth="1"/>
    <col min="14" max="14" width="1.7109375" style="63" customWidth="1"/>
    <col min="15" max="15" width="12.140625" style="63" customWidth="1"/>
    <col min="16" max="16" width="1.7109375" style="63" customWidth="1"/>
    <col min="17" max="17" width="14" style="63" customWidth="1"/>
    <col min="18" max="18" width="1.7109375" style="63" customWidth="1"/>
    <col min="19" max="19" width="12.85546875" style="63" customWidth="1"/>
    <col min="20" max="20" width="1.7109375" style="63" customWidth="1"/>
    <col min="21" max="21" width="11.5703125" style="63" customWidth="1"/>
    <col min="22" max="22" width="1.7109375" style="63" customWidth="1"/>
    <col min="23" max="23" width="12.140625" style="63" customWidth="1"/>
    <col min="24" max="24" width="1.7109375" style="63" customWidth="1"/>
    <col min="25" max="25" width="12.140625" style="63" customWidth="1"/>
    <col min="26" max="26" width="1.7109375" style="63" customWidth="1"/>
    <col min="27" max="27" width="12.140625" style="63" customWidth="1"/>
    <col min="28" max="28" width="1.7109375" style="63" customWidth="1"/>
    <col min="29" max="29" width="11.85546875" style="63" customWidth="1"/>
    <col min="30" max="30" width="1.7109375" style="63" customWidth="1"/>
    <col min="31" max="31" width="12.7109375" style="63" bestFit="1" customWidth="1"/>
    <col min="32" max="32" width="1.7109375" style="63" customWidth="1"/>
    <col min="33" max="33" width="13.7109375" style="63" customWidth="1"/>
    <col min="34" max="34" width="1.7109375" style="63" customWidth="1"/>
    <col min="35" max="35" width="13.7109375" style="63" customWidth="1"/>
    <col min="36" max="36" width="1.7109375" style="63" customWidth="1"/>
    <col min="37" max="37" width="13.7109375" style="63" customWidth="1"/>
    <col min="38" max="38" width="1.7109375" style="63" customWidth="1"/>
    <col min="39" max="39" width="13.7109375" style="63" customWidth="1"/>
    <col min="40" max="40" width="1.7109375" style="63" customWidth="1"/>
    <col min="41" max="41" width="13.7109375" style="63" customWidth="1"/>
    <col min="42" max="42" width="1.7109375" style="63" customWidth="1"/>
    <col min="43" max="43" width="11.85546875" style="63" customWidth="1"/>
    <col min="44" max="44" width="1.7109375" style="63" customWidth="1"/>
    <col min="45" max="45" width="11.85546875" style="63" customWidth="1"/>
    <col min="46" max="46" width="1.7109375" style="63" customWidth="1"/>
    <col min="47" max="47" width="8.7109375" style="63" customWidth="1"/>
    <col min="48" max="48" width="1.7109375" style="63" customWidth="1"/>
    <col min="49" max="49" width="8.7109375" style="63" customWidth="1"/>
    <col min="50" max="50" width="1.7109375" style="63" customWidth="1"/>
    <col min="51" max="51" width="8.85546875" style="110" bestFit="1" customWidth="1"/>
    <col min="52" max="52" width="1.7109375" style="110" customWidth="1"/>
    <col min="53" max="53" width="8.140625" style="110" bestFit="1" customWidth="1"/>
    <col min="54" max="54" width="1.7109375" style="110" customWidth="1"/>
    <col min="55" max="55" width="12.140625" style="110" customWidth="1"/>
    <col min="56" max="56" width="1.7109375" style="110" customWidth="1"/>
    <col min="57" max="57" width="12.140625" style="110" customWidth="1"/>
    <col min="58" max="58" width="1.7109375" style="110" customWidth="1"/>
    <col min="59" max="59" width="9.7109375" style="35" customWidth="1"/>
    <col min="60" max="64" width="12.140625" style="63" customWidth="1"/>
    <col min="65" max="80" width="12.140625" style="35" customWidth="1"/>
    <col min="81" max="107" width="9.140625" style="35"/>
    <col min="108" max="16384" width="9.140625" style="37"/>
  </cols>
  <sheetData>
    <row r="2" spans="1:107" s="10" customFormat="1" x14ac:dyDescent="0.2">
      <c r="A2" s="89"/>
      <c r="C2" s="278"/>
      <c r="D2" s="278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79"/>
      <c r="Q2" s="403"/>
      <c r="R2" s="404"/>
      <c r="S2" s="404"/>
      <c r="T2" s="404"/>
      <c r="U2" s="404"/>
      <c r="V2" s="279"/>
      <c r="W2" s="403"/>
      <c r="X2" s="403"/>
      <c r="Y2" s="403"/>
      <c r="Z2" s="403"/>
      <c r="AA2" s="403"/>
      <c r="AB2" s="403"/>
      <c r="AC2" s="403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110"/>
      <c r="AZ2" s="110"/>
      <c r="BA2" s="110"/>
      <c r="BB2" s="110"/>
      <c r="BC2" s="110"/>
      <c r="BD2" s="110"/>
      <c r="BE2" s="110"/>
      <c r="BF2" s="110"/>
      <c r="BG2" s="20"/>
      <c r="BH2" s="190"/>
      <c r="BI2" s="190"/>
      <c r="BJ2" s="190"/>
      <c r="BK2" s="190"/>
      <c r="BL2" s="19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</row>
    <row r="3" spans="1:107" s="372" customFormat="1" ht="15" x14ac:dyDescent="0.25">
      <c r="A3" s="362"/>
      <c r="C3" s="154"/>
      <c r="D3" s="154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137"/>
      <c r="Q3" s="415"/>
      <c r="R3" s="416"/>
      <c r="S3" s="416"/>
      <c r="T3" s="416"/>
      <c r="U3" s="416"/>
      <c r="V3" s="137"/>
      <c r="W3" s="415"/>
      <c r="X3" s="415"/>
      <c r="Y3" s="415"/>
      <c r="Z3" s="415"/>
      <c r="AA3" s="415"/>
      <c r="AB3" s="415"/>
      <c r="AC3" s="415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360"/>
      <c r="AZ3" s="360"/>
      <c r="BA3" s="360"/>
      <c r="BB3" s="360"/>
      <c r="BC3" s="360"/>
      <c r="BD3" s="360"/>
      <c r="BE3" s="360"/>
      <c r="BF3" s="360"/>
      <c r="BG3" s="373"/>
      <c r="BH3" s="137"/>
      <c r="BI3" s="137"/>
      <c r="BJ3" s="137"/>
      <c r="BK3" s="137"/>
      <c r="BL3" s="137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</row>
    <row r="4" spans="1:107" s="372" customFormat="1" ht="15" x14ac:dyDescent="0.25">
      <c r="A4" s="362"/>
      <c r="C4" s="154"/>
      <c r="D4" s="154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H4" s="310"/>
      <c r="AI4" s="310"/>
      <c r="AJ4" s="310"/>
      <c r="AK4" s="310"/>
      <c r="AL4" s="137"/>
      <c r="AM4" s="137"/>
      <c r="AN4" s="137"/>
      <c r="AO4" s="137"/>
      <c r="AP4" s="137"/>
      <c r="AQ4" s="457" t="s">
        <v>115</v>
      </c>
      <c r="AR4" s="457"/>
      <c r="AS4" s="457"/>
      <c r="AT4" s="137"/>
      <c r="AU4" s="137"/>
      <c r="AV4" s="137"/>
      <c r="AW4" s="137"/>
      <c r="AX4" s="137"/>
      <c r="AY4" s="360"/>
      <c r="AZ4" s="360"/>
      <c r="BA4" s="360"/>
      <c r="BB4" s="360"/>
      <c r="BC4" s="360"/>
      <c r="BD4" s="360"/>
      <c r="BE4" s="360"/>
      <c r="BF4" s="360"/>
      <c r="BG4" s="373"/>
      <c r="BH4" s="137"/>
      <c r="BI4" s="137"/>
      <c r="BJ4" s="137"/>
      <c r="BK4" s="137"/>
      <c r="BL4" s="137"/>
      <c r="BM4" s="373"/>
      <c r="BN4" s="373"/>
      <c r="BO4" s="373"/>
      <c r="BP4" s="373"/>
      <c r="BQ4" s="373"/>
      <c r="BR4" s="373"/>
      <c r="BS4" s="373"/>
      <c r="BT4" s="373"/>
      <c r="BU4" s="373"/>
      <c r="BV4" s="373"/>
      <c r="BW4" s="373"/>
      <c r="BX4" s="373"/>
      <c r="BY4" s="373"/>
      <c r="BZ4" s="373"/>
      <c r="CA4" s="373"/>
      <c r="CB4" s="373"/>
      <c r="CC4" s="373"/>
      <c r="CD4" s="373"/>
      <c r="CE4" s="373"/>
      <c r="CF4" s="373"/>
      <c r="CG4" s="37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  <c r="DC4" s="373"/>
    </row>
    <row r="5" spans="1:107" s="372" customFormat="1" ht="15.75" thickBot="1" x14ac:dyDescent="0.3">
      <c r="A5" s="362"/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142"/>
      <c r="AE5" s="470" t="s">
        <v>80</v>
      </c>
      <c r="AF5" s="470"/>
      <c r="AG5" s="470"/>
      <c r="AH5" s="376"/>
      <c r="AI5" s="471" t="s">
        <v>185</v>
      </c>
      <c r="AJ5" s="471"/>
      <c r="AK5" s="471"/>
      <c r="AL5" s="323"/>
      <c r="AM5" s="464" t="s">
        <v>117</v>
      </c>
      <c r="AN5" s="464"/>
      <c r="AO5" s="464"/>
      <c r="AP5" s="323"/>
      <c r="AQ5" s="464" t="s">
        <v>116</v>
      </c>
      <c r="AR5" s="464"/>
      <c r="AS5" s="464"/>
      <c r="AT5" s="323"/>
      <c r="AU5" s="457" t="s">
        <v>196</v>
      </c>
      <c r="AV5" s="457"/>
      <c r="AW5" s="457"/>
      <c r="AX5" s="323"/>
      <c r="AY5" s="360"/>
      <c r="AZ5" s="360"/>
      <c r="BA5" s="360"/>
      <c r="BB5" s="360"/>
      <c r="BC5" s="360"/>
      <c r="BD5" s="360"/>
      <c r="BE5" s="360"/>
      <c r="BF5" s="360"/>
      <c r="BG5" s="373"/>
      <c r="BH5" s="137"/>
      <c r="BI5" s="137"/>
      <c r="BJ5" s="137"/>
      <c r="BK5" s="137"/>
      <c r="BL5" s="137"/>
      <c r="BM5" s="373"/>
      <c r="BN5" s="373"/>
      <c r="BO5" s="373"/>
      <c r="BP5" s="373"/>
      <c r="BQ5" s="373"/>
      <c r="BR5" s="373"/>
      <c r="BS5" s="373"/>
      <c r="BT5" s="373"/>
      <c r="BU5" s="373"/>
      <c r="BV5" s="373"/>
      <c r="BW5" s="373"/>
      <c r="BX5" s="373"/>
      <c r="BY5" s="373"/>
      <c r="BZ5" s="373"/>
      <c r="CA5" s="373"/>
      <c r="CB5" s="373"/>
      <c r="CC5" s="373"/>
      <c r="CD5" s="373"/>
      <c r="CE5" s="373"/>
      <c r="CF5" s="373"/>
      <c r="CG5" s="37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  <c r="DC5" s="373"/>
    </row>
    <row r="6" spans="1:107" s="96" customFormat="1" ht="15" x14ac:dyDescent="0.2">
      <c r="A6" s="61"/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142"/>
      <c r="AE6" s="172"/>
      <c r="AF6" s="173"/>
      <c r="AG6" s="174"/>
      <c r="AH6" s="267"/>
      <c r="AI6" s="386"/>
      <c r="AJ6" s="387"/>
      <c r="AK6" s="388" t="str">
        <f>+'Lead Sheet '!AO4</f>
        <v>Barbara</v>
      </c>
      <c r="AL6" s="282"/>
      <c r="AM6" s="103"/>
      <c r="AN6" s="104"/>
      <c r="AO6" s="102" t="s">
        <v>195</v>
      </c>
      <c r="AP6" s="282"/>
      <c r="AQ6" s="103"/>
      <c r="AR6" s="170"/>
      <c r="AS6" s="178"/>
      <c r="AT6" s="95"/>
      <c r="AU6" s="172"/>
      <c r="AV6" s="173"/>
      <c r="AW6" s="174"/>
      <c r="AX6" s="95"/>
      <c r="AY6" s="79"/>
      <c r="AZ6" s="77"/>
      <c r="BA6" s="81"/>
      <c r="BB6" s="77"/>
      <c r="BC6" s="81"/>
      <c r="BD6" s="77"/>
      <c r="BE6" s="81"/>
      <c r="BF6" s="77"/>
      <c r="BG6" s="82"/>
      <c r="BH6" s="150"/>
      <c r="BI6" s="150"/>
      <c r="BJ6" s="150"/>
      <c r="BK6" s="150"/>
      <c r="BL6" s="150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</row>
    <row r="7" spans="1:107" s="96" customFormat="1" ht="15" x14ac:dyDescent="0.25">
      <c r="A7" s="61"/>
      <c r="C7" s="90" t="str">
        <f>+'Lead Sheet '!C5</f>
        <v>Bob</v>
      </c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106" t="str">
        <f>+'Lead Sheet '!AM5</f>
        <v>James</v>
      </c>
      <c r="AJ7" s="282"/>
      <c r="AK7" s="107" t="str">
        <f>+'Lead Sheet '!AO5</f>
        <v>BUTTERHOF</v>
      </c>
      <c r="AL7" s="282"/>
      <c r="AM7" s="106" t="s">
        <v>302</v>
      </c>
      <c r="AN7" s="282"/>
      <c r="AO7" s="107" t="s">
        <v>252</v>
      </c>
      <c r="AP7" s="282"/>
      <c r="AQ7" s="106" t="s">
        <v>304</v>
      </c>
      <c r="AR7" s="150"/>
      <c r="AS7" s="167" t="s">
        <v>306</v>
      </c>
      <c r="AT7" s="95"/>
      <c r="AU7" s="155"/>
      <c r="AV7" s="137"/>
      <c r="AW7" s="156"/>
      <c r="AX7" s="95"/>
      <c r="AY7" s="78" t="s">
        <v>24</v>
      </c>
      <c r="AZ7" s="76"/>
      <c r="BA7" s="83" t="s">
        <v>24</v>
      </c>
      <c r="BB7" s="76"/>
      <c r="BC7" s="83" t="s">
        <v>24</v>
      </c>
      <c r="BD7" s="76"/>
      <c r="BE7" s="83" t="s">
        <v>24</v>
      </c>
      <c r="BF7" s="76"/>
      <c r="BG7" s="84" t="s">
        <v>24</v>
      </c>
      <c r="BH7" s="150"/>
      <c r="BI7" s="150"/>
      <c r="BJ7" s="150"/>
      <c r="BK7" s="150"/>
      <c r="BL7" s="150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</row>
    <row r="8" spans="1:107" s="96" customFormat="1" ht="14.25" x14ac:dyDescent="0.2">
      <c r="A8" s="61" t="s">
        <v>91</v>
      </c>
      <c r="C8" s="90" t="str">
        <f>+'Lead Sheet '!C6</f>
        <v>HUGIN</v>
      </c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106" t="str">
        <f>+'Lead Sheet '!AM6</f>
        <v>BERTINO</v>
      </c>
      <c r="AJ8" s="282"/>
      <c r="AK8" s="107" t="str">
        <f>+'Lead Sheet '!AO6</f>
        <v>RHEAULT</v>
      </c>
      <c r="AL8" s="282"/>
      <c r="AM8" s="106" t="s">
        <v>303</v>
      </c>
      <c r="AN8" s="282"/>
      <c r="AO8" s="107" t="s">
        <v>119</v>
      </c>
      <c r="AP8" s="282"/>
      <c r="AQ8" s="106" t="s">
        <v>305</v>
      </c>
      <c r="AR8" s="150"/>
      <c r="AS8" s="167" t="s">
        <v>307</v>
      </c>
      <c r="AT8" s="95"/>
      <c r="AU8" s="315" t="s">
        <v>106</v>
      </c>
      <c r="AV8" s="143"/>
      <c r="AW8" s="316" t="s">
        <v>107</v>
      </c>
      <c r="AX8" s="95"/>
      <c r="AY8" s="78" t="s">
        <v>83</v>
      </c>
      <c r="AZ8" s="76"/>
      <c r="BA8" s="83" t="s">
        <v>84</v>
      </c>
      <c r="BB8" s="76"/>
      <c r="BC8" s="83" t="s">
        <v>85</v>
      </c>
      <c r="BD8" s="76"/>
      <c r="BE8" s="83" t="s">
        <v>86</v>
      </c>
      <c r="BF8" s="76"/>
      <c r="BG8" s="84" t="s">
        <v>87</v>
      </c>
      <c r="BH8" s="150"/>
      <c r="BI8" s="150"/>
      <c r="BJ8" s="150"/>
      <c r="BK8" s="150"/>
      <c r="BL8" s="150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</row>
    <row r="9" spans="1:107" s="96" customFormat="1" ht="14.25" x14ac:dyDescent="0.2">
      <c r="A9" s="61" t="s">
        <v>92</v>
      </c>
      <c r="C9" s="90" t="str">
        <f>+'Lead Sheet '!C7</f>
        <v>Republican</v>
      </c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106" t="str">
        <f>+'Lead Sheet '!AM7</f>
        <v>Republican</v>
      </c>
      <c r="AJ9" s="282"/>
      <c r="AK9" s="107" t="str">
        <f>+'Lead Sheet '!AO7</f>
        <v>Democratic</v>
      </c>
      <c r="AL9" s="282"/>
      <c r="AM9" s="106" t="s">
        <v>93</v>
      </c>
      <c r="AN9" s="282"/>
      <c r="AO9" s="107" t="s">
        <v>99</v>
      </c>
      <c r="AP9" s="282"/>
      <c r="AQ9" s="106"/>
      <c r="AR9" s="150"/>
      <c r="AS9" s="167"/>
      <c r="AT9" s="95"/>
      <c r="AU9" s="296"/>
      <c r="AV9" s="295"/>
      <c r="AW9" s="297"/>
      <c r="AX9" s="95"/>
      <c r="AY9" s="78" t="s">
        <v>89</v>
      </c>
      <c r="AZ9" s="76"/>
      <c r="BA9" s="83" t="s">
        <v>90</v>
      </c>
      <c r="BB9" s="76"/>
      <c r="BC9" s="83" t="s">
        <v>89</v>
      </c>
      <c r="BD9" s="76"/>
      <c r="BE9" s="83" t="s">
        <v>89</v>
      </c>
      <c r="BF9" s="76"/>
      <c r="BG9" s="84" t="s">
        <v>89</v>
      </c>
      <c r="BH9" s="150"/>
      <c r="BI9" s="150"/>
      <c r="BJ9" s="150"/>
      <c r="BK9" s="150"/>
      <c r="BL9" s="150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</row>
    <row r="10" spans="1:107" s="10" customFormat="1" ht="15" thickBot="1" x14ac:dyDescent="0.25">
      <c r="A10" s="89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82"/>
      <c r="AM10" s="120"/>
      <c r="AN10" s="281"/>
      <c r="AO10" s="121"/>
      <c r="AP10" s="282"/>
      <c r="AQ10" s="120"/>
      <c r="AR10" s="280"/>
      <c r="AS10" s="182"/>
      <c r="AT10" s="95"/>
      <c r="AU10" s="337"/>
      <c r="AV10" s="330"/>
      <c r="AW10" s="346"/>
      <c r="AX10" s="95"/>
      <c r="AY10" s="80"/>
      <c r="AZ10" s="85"/>
      <c r="BA10" s="85"/>
      <c r="BB10" s="85"/>
      <c r="BC10" s="85"/>
      <c r="BD10" s="85"/>
      <c r="BE10" s="85"/>
      <c r="BF10" s="85"/>
      <c r="BG10" s="86"/>
      <c r="BH10" s="190"/>
      <c r="BI10" s="190"/>
      <c r="BJ10" s="190"/>
      <c r="BK10" s="190"/>
      <c r="BL10" s="19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</row>
    <row r="11" spans="1:107" x14ac:dyDescent="0.2">
      <c r="A11" s="61" t="s">
        <v>70</v>
      </c>
      <c r="C11" s="62">
        <f>266+260</f>
        <v>526</v>
      </c>
      <c r="D11" s="35"/>
      <c r="E11" s="62">
        <f>103+88</f>
        <v>191</v>
      </c>
      <c r="F11" s="35"/>
      <c r="G11" s="62">
        <f>3+3</f>
        <v>6</v>
      </c>
      <c r="H11" s="35"/>
      <c r="I11" s="62">
        <f>1+3</f>
        <v>4</v>
      </c>
      <c r="J11" s="35"/>
      <c r="K11" s="62">
        <f>1+2</f>
        <v>3</v>
      </c>
      <c r="L11" s="35"/>
      <c r="M11" s="62">
        <f>1+1</f>
        <v>2</v>
      </c>
      <c r="N11" s="35"/>
      <c r="O11" s="62">
        <f>5+2</f>
        <v>7</v>
      </c>
      <c r="P11" s="35"/>
      <c r="Q11" s="62">
        <v>4</v>
      </c>
      <c r="R11" s="35"/>
      <c r="S11" s="62">
        <f>214+218</f>
        <v>432</v>
      </c>
      <c r="T11" s="35"/>
      <c r="U11" s="62">
        <f>160+143</f>
        <v>303</v>
      </c>
      <c r="V11" s="35"/>
      <c r="W11" s="62">
        <f>4+3</f>
        <v>7</v>
      </c>
      <c r="X11" s="35"/>
      <c r="Y11" s="62">
        <f>1+2</f>
        <v>3</v>
      </c>
      <c r="Z11" s="35"/>
      <c r="AA11" s="62">
        <f>1+4</f>
        <v>5</v>
      </c>
      <c r="AB11" s="35"/>
      <c r="AC11" s="62">
        <v>1</v>
      </c>
      <c r="AD11" s="35"/>
      <c r="AE11" s="62">
        <f>260+264</f>
        <v>524</v>
      </c>
      <c r="AF11" s="35"/>
      <c r="AG11" s="62">
        <f>111+101</f>
        <v>212</v>
      </c>
      <c r="AH11" s="35"/>
      <c r="AI11" s="62">
        <f>254+259</f>
        <v>513</v>
      </c>
      <c r="AJ11" s="35"/>
      <c r="AK11" s="62">
        <f>117+105</f>
        <v>222</v>
      </c>
      <c r="AL11" s="35"/>
      <c r="AM11" s="62">
        <f>286+301</f>
        <v>587</v>
      </c>
      <c r="AN11" s="35"/>
      <c r="AO11" s="62"/>
      <c r="AP11" s="35"/>
      <c r="AQ11" s="62">
        <f>210+197</f>
        <v>407</v>
      </c>
      <c r="AR11" s="35"/>
      <c r="AS11" s="62">
        <f>199+195</f>
        <v>394</v>
      </c>
      <c r="AT11" s="35"/>
      <c r="AU11" s="62">
        <f>89+95</f>
        <v>184</v>
      </c>
      <c r="AV11" s="35"/>
      <c r="AW11" s="62">
        <f>262+252</f>
        <v>514</v>
      </c>
      <c r="AX11" s="35"/>
      <c r="AY11" s="62">
        <f>384+374</f>
        <v>758</v>
      </c>
      <c r="AZ11" s="63"/>
      <c r="BA11" s="62">
        <v>92</v>
      </c>
      <c r="BB11" s="63"/>
      <c r="BC11" s="28">
        <v>8</v>
      </c>
      <c r="BD11" s="63"/>
      <c r="BE11" s="62"/>
      <c r="BG11" s="62">
        <f>+SUM(AY11:BE11)</f>
        <v>858</v>
      </c>
      <c r="BH11" s="35"/>
      <c r="BI11" s="35"/>
      <c r="BJ11" s="35"/>
      <c r="BK11" s="35"/>
      <c r="BL11" s="35"/>
    </row>
    <row r="12" spans="1:107" ht="13.5" thickBot="1" x14ac:dyDescent="0.25"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63"/>
      <c r="BA12" s="35"/>
      <c r="BB12" s="63"/>
      <c r="BC12" s="35"/>
      <c r="BD12" s="63"/>
      <c r="BE12" s="35"/>
      <c r="BH12" s="35"/>
      <c r="BI12" s="35"/>
      <c r="BJ12" s="35"/>
      <c r="BK12" s="35"/>
      <c r="BL12" s="35"/>
    </row>
    <row r="13" spans="1:107" s="48" customFormat="1" ht="13.5" thickBot="1" x14ac:dyDescent="0.25">
      <c r="A13" s="3" t="s">
        <v>24</v>
      </c>
      <c r="C13" s="41">
        <f>+C11</f>
        <v>526</v>
      </c>
      <c r="D13" s="118"/>
      <c r="E13" s="41">
        <f>+E11</f>
        <v>191</v>
      </c>
      <c r="F13" s="118"/>
      <c r="G13" s="41">
        <f>+G11</f>
        <v>6</v>
      </c>
      <c r="H13" s="118"/>
      <c r="I13" s="41">
        <f>+I11</f>
        <v>4</v>
      </c>
      <c r="J13" s="118"/>
      <c r="K13" s="41">
        <f>+K11</f>
        <v>3</v>
      </c>
      <c r="L13" s="118"/>
      <c r="M13" s="41">
        <f>+M11</f>
        <v>2</v>
      </c>
      <c r="N13" s="118"/>
      <c r="O13" s="41">
        <f>+O11</f>
        <v>7</v>
      </c>
      <c r="P13" s="118"/>
      <c r="Q13" s="41">
        <f>+Q11</f>
        <v>4</v>
      </c>
      <c r="R13" s="118"/>
      <c r="S13" s="41">
        <f>+S11</f>
        <v>432</v>
      </c>
      <c r="T13" s="118"/>
      <c r="U13" s="41">
        <f>+U11</f>
        <v>303</v>
      </c>
      <c r="V13" s="118"/>
      <c r="W13" s="41">
        <f>+W11</f>
        <v>7</v>
      </c>
      <c r="X13" s="118"/>
      <c r="Y13" s="41">
        <f>+Y11</f>
        <v>3</v>
      </c>
      <c r="Z13" s="118"/>
      <c r="AA13" s="41">
        <f>+AA11</f>
        <v>5</v>
      </c>
      <c r="AB13" s="118"/>
      <c r="AC13" s="41">
        <f>+AC11</f>
        <v>1</v>
      </c>
      <c r="AD13" s="118"/>
      <c r="AE13" s="41">
        <f>+AE11</f>
        <v>524</v>
      </c>
      <c r="AF13" s="118"/>
      <c r="AG13" s="41">
        <f>+AG11</f>
        <v>212</v>
      </c>
      <c r="AH13" s="42"/>
      <c r="AI13" s="41">
        <f>+AI11</f>
        <v>513</v>
      </c>
      <c r="AJ13" s="42"/>
      <c r="AK13" s="41">
        <f>+AK11</f>
        <v>222</v>
      </c>
      <c r="AL13" s="42"/>
      <c r="AM13" s="41">
        <f>+AM11</f>
        <v>587</v>
      </c>
      <c r="AN13" s="42"/>
      <c r="AO13" s="41">
        <f>+AO11</f>
        <v>0</v>
      </c>
      <c r="AP13" s="42"/>
      <c r="AQ13" s="41">
        <f>+AQ11</f>
        <v>407</v>
      </c>
      <c r="AR13" s="42"/>
      <c r="AS13" s="41">
        <f>+AS11</f>
        <v>394</v>
      </c>
      <c r="AT13" s="42"/>
      <c r="AU13" s="41">
        <f>+AU11</f>
        <v>184</v>
      </c>
      <c r="AV13" s="42"/>
      <c r="AW13" s="41">
        <f>+AW11</f>
        <v>514</v>
      </c>
      <c r="AX13" s="42"/>
      <c r="AY13" s="41">
        <f>+AY11</f>
        <v>758</v>
      </c>
      <c r="AZ13" s="112"/>
      <c r="BA13" s="41">
        <f>+BA11</f>
        <v>92</v>
      </c>
      <c r="BB13" s="112"/>
      <c r="BC13" s="41">
        <f>+BC11</f>
        <v>8</v>
      </c>
      <c r="BD13" s="112"/>
      <c r="BE13" s="41">
        <f>+BE11</f>
        <v>0</v>
      </c>
      <c r="BF13" s="114"/>
      <c r="BG13" s="41">
        <f>+BG11</f>
        <v>858</v>
      </c>
      <c r="BH13" s="118"/>
      <c r="BI13" s="118"/>
      <c r="BJ13" s="118"/>
      <c r="BK13" s="118"/>
      <c r="BL13" s="118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</row>
    <row r="14" spans="1:107" x14ac:dyDescent="0.2">
      <c r="A14" s="36" t="s">
        <v>73</v>
      </c>
      <c r="C14" s="35">
        <v>62</v>
      </c>
      <c r="D14" s="35"/>
      <c r="E14" s="35">
        <v>25</v>
      </c>
      <c r="F14" s="35"/>
      <c r="G14" s="35">
        <v>2</v>
      </c>
      <c r="H14" s="35"/>
      <c r="I14" s="35">
        <v>0</v>
      </c>
      <c r="J14" s="35"/>
      <c r="K14" s="35">
        <v>1</v>
      </c>
      <c r="L14" s="35"/>
      <c r="M14" s="35">
        <v>0</v>
      </c>
      <c r="N14" s="35"/>
      <c r="O14" s="35">
        <v>0</v>
      </c>
      <c r="P14" s="35"/>
      <c r="Q14" s="35">
        <v>0</v>
      </c>
      <c r="R14" s="35"/>
      <c r="S14" s="35">
        <v>46</v>
      </c>
      <c r="T14" s="35"/>
      <c r="U14" s="35">
        <v>42</v>
      </c>
      <c r="V14" s="35"/>
      <c r="W14" s="35">
        <v>1</v>
      </c>
      <c r="X14" s="35"/>
      <c r="Y14" s="35">
        <v>0</v>
      </c>
      <c r="Z14" s="35"/>
      <c r="AA14" s="35">
        <v>0</v>
      </c>
      <c r="AB14" s="35"/>
      <c r="AC14" s="35">
        <v>0</v>
      </c>
      <c r="AD14" s="35"/>
      <c r="AE14" s="35">
        <v>60</v>
      </c>
      <c r="AF14" s="35"/>
      <c r="AG14" s="35">
        <v>28</v>
      </c>
      <c r="AH14" s="35"/>
      <c r="AI14" s="35">
        <v>56</v>
      </c>
      <c r="AJ14" s="35"/>
      <c r="AK14" s="35">
        <v>31</v>
      </c>
      <c r="AL14" s="35"/>
      <c r="AM14" s="35">
        <v>68</v>
      </c>
      <c r="AN14" s="35"/>
      <c r="AO14" s="35"/>
      <c r="AP14" s="35"/>
      <c r="AQ14" s="35">
        <v>62</v>
      </c>
      <c r="AR14" s="35"/>
      <c r="AS14" s="35">
        <v>59</v>
      </c>
      <c r="AT14" s="35"/>
      <c r="AU14" s="35">
        <v>40</v>
      </c>
      <c r="AV14" s="35"/>
      <c r="AW14" s="35">
        <v>45</v>
      </c>
      <c r="AX14" s="35"/>
      <c r="AY14" s="35"/>
      <c r="BA14" s="35"/>
      <c r="BH14" s="35"/>
      <c r="BI14" s="35"/>
      <c r="BJ14" s="35"/>
      <c r="BK14" s="35"/>
      <c r="BL14" s="35"/>
    </row>
    <row r="15" spans="1:107" x14ac:dyDescent="0.2">
      <c r="A15" s="36" t="s">
        <v>25</v>
      </c>
      <c r="C15" s="35">
        <v>6</v>
      </c>
      <c r="D15" s="35"/>
      <c r="E15" s="35">
        <v>2</v>
      </c>
      <c r="F15" s="35"/>
      <c r="G15" s="35">
        <v>0</v>
      </c>
      <c r="H15" s="35"/>
      <c r="I15" s="35">
        <v>0</v>
      </c>
      <c r="J15" s="35"/>
      <c r="K15" s="35">
        <v>0</v>
      </c>
      <c r="L15" s="35"/>
      <c r="M15" s="35">
        <v>0</v>
      </c>
      <c r="N15" s="35"/>
      <c r="O15" s="35">
        <v>0</v>
      </c>
      <c r="P15" s="35"/>
      <c r="Q15" s="35">
        <v>0</v>
      </c>
      <c r="R15" s="35"/>
      <c r="S15" s="35">
        <v>6</v>
      </c>
      <c r="T15" s="35"/>
      <c r="U15" s="35">
        <v>2</v>
      </c>
      <c r="V15" s="35"/>
      <c r="W15" s="35">
        <v>0</v>
      </c>
      <c r="X15" s="35"/>
      <c r="Y15" s="35">
        <v>0</v>
      </c>
      <c r="Z15" s="35"/>
      <c r="AA15" s="35">
        <v>0</v>
      </c>
      <c r="AB15" s="35" t="s">
        <v>108</v>
      </c>
      <c r="AC15" s="35">
        <v>0</v>
      </c>
      <c r="AD15" s="35"/>
      <c r="AE15" s="35">
        <v>6</v>
      </c>
      <c r="AF15" s="35"/>
      <c r="AG15" s="35">
        <v>2</v>
      </c>
      <c r="AH15" s="35"/>
      <c r="AI15" s="35">
        <v>6</v>
      </c>
      <c r="AJ15" s="35"/>
      <c r="AK15" s="35">
        <v>2</v>
      </c>
      <c r="AL15" s="35"/>
      <c r="AM15" s="35">
        <v>6</v>
      </c>
      <c r="AN15" s="35"/>
      <c r="AO15" s="35"/>
      <c r="AP15" s="35"/>
      <c r="AQ15" s="35">
        <v>1</v>
      </c>
      <c r="AR15" s="35"/>
      <c r="AS15" s="35">
        <v>2</v>
      </c>
      <c r="AT15" s="35"/>
      <c r="AU15" s="35">
        <v>3</v>
      </c>
      <c r="AV15" s="35"/>
      <c r="AW15" s="35">
        <v>4</v>
      </c>
      <c r="AX15" s="35"/>
      <c r="AY15" s="35"/>
      <c r="BA15" s="35"/>
      <c r="BH15" s="35"/>
      <c r="BI15" s="35"/>
      <c r="BJ15" s="35"/>
      <c r="BK15" s="35"/>
      <c r="BL15" s="35"/>
    </row>
    <row r="16" spans="1:107" s="10" customFormat="1" ht="13.5" thickBot="1" x14ac:dyDescent="0.25">
      <c r="A16" s="36" t="s">
        <v>79</v>
      </c>
      <c r="C16" s="35">
        <v>0</v>
      </c>
      <c r="D16" s="35"/>
      <c r="E16" s="35">
        <v>0</v>
      </c>
      <c r="F16" s="35"/>
      <c r="G16" s="35">
        <v>0</v>
      </c>
      <c r="H16" s="35"/>
      <c r="I16" s="35">
        <v>0</v>
      </c>
      <c r="J16" s="35"/>
      <c r="K16" s="35">
        <v>0</v>
      </c>
      <c r="L16" s="35"/>
      <c r="M16" s="35">
        <v>0</v>
      </c>
      <c r="N16" s="35"/>
      <c r="O16" s="35">
        <v>0</v>
      </c>
      <c r="P16" s="35"/>
      <c r="Q16" s="35">
        <v>0</v>
      </c>
      <c r="R16" s="35"/>
      <c r="S16" s="35">
        <v>0</v>
      </c>
      <c r="T16" s="35"/>
      <c r="U16" s="35">
        <v>0</v>
      </c>
      <c r="V16" s="35"/>
      <c r="W16" s="35">
        <v>0</v>
      </c>
      <c r="X16" s="35"/>
      <c r="Y16" s="35">
        <v>0</v>
      </c>
      <c r="Z16" s="35"/>
      <c r="AA16" s="35">
        <v>0</v>
      </c>
      <c r="AB16" s="35"/>
      <c r="AC16" s="35">
        <v>0</v>
      </c>
      <c r="AD16" s="35"/>
      <c r="AE16" s="35">
        <v>0</v>
      </c>
      <c r="AF16" s="35"/>
      <c r="AG16" s="35">
        <v>0</v>
      </c>
      <c r="AH16" s="35"/>
      <c r="AI16" s="35">
        <v>0</v>
      </c>
      <c r="AJ16" s="35"/>
      <c r="AK16" s="35">
        <v>0</v>
      </c>
      <c r="AL16" s="35"/>
      <c r="AM16" s="35">
        <v>0</v>
      </c>
      <c r="AN16" s="35"/>
      <c r="AO16" s="35"/>
      <c r="AP16" s="35"/>
      <c r="AQ16" s="35">
        <v>0</v>
      </c>
      <c r="AR16" s="35"/>
      <c r="AS16" s="35">
        <v>0</v>
      </c>
      <c r="AT16" s="35"/>
      <c r="AU16" s="35">
        <v>0</v>
      </c>
      <c r="AV16" s="35"/>
      <c r="AW16" s="35">
        <v>0</v>
      </c>
      <c r="AX16" s="35"/>
      <c r="AY16" s="35"/>
      <c r="AZ16" s="110"/>
      <c r="BA16" s="35"/>
      <c r="BB16" s="110"/>
      <c r="BF16" s="110"/>
      <c r="BG16" s="20"/>
      <c r="BH16" s="35"/>
      <c r="BI16" s="35"/>
      <c r="BJ16" s="35"/>
      <c r="BK16" s="35"/>
      <c r="BL16" s="35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</row>
    <row r="17" spans="1:107" s="48" customFormat="1" ht="13.5" thickBot="1" x14ac:dyDescent="0.25">
      <c r="A17" s="3" t="s">
        <v>26</v>
      </c>
      <c r="C17" s="41">
        <f>+SUM(C13:C16)</f>
        <v>594</v>
      </c>
      <c r="D17" s="118"/>
      <c r="E17" s="41">
        <f>+SUM(E13:E16)</f>
        <v>218</v>
      </c>
      <c r="F17" s="118"/>
      <c r="G17" s="41">
        <f>+SUM(G13:G16)</f>
        <v>8</v>
      </c>
      <c r="H17" s="118"/>
      <c r="I17" s="41">
        <f>+SUM(I13:I16)</f>
        <v>4</v>
      </c>
      <c r="J17" s="118"/>
      <c r="K17" s="41">
        <f>+SUM(K13:K16)</f>
        <v>4</v>
      </c>
      <c r="L17" s="118"/>
      <c r="M17" s="41">
        <f>+SUM(M13:M16)</f>
        <v>2</v>
      </c>
      <c r="N17" s="118"/>
      <c r="O17" s="41">
        <f>+SUM(O13:O16)</f>
        <v>7</v>
      </c>
      <c r="P17" s="118"/>
      <c r="Q17" s="41">
        <f>+SUM(Q13:Q16)</f>
        <v>4</v>
      </c>
      <c r="R17" s="118"/>
      <c r="S17" s="41">
        <f>+SUM(S13:S16)</f>
        <v>484</v>
      </c>
      <c r="T17" s="118"/>
      <c r="U17" s="41">
        <f>+SUM(U13:U16)</f>
        <v>347</v>
      </c>
      <c r="V17" s="118"/>
      <c r="W17" s="41">
        <f>+SUM(W13:W16)</f>
        <v>8</v>
      </c>
      <c r="X17" s="118"/>
      <c r="Y17" s="41">
        <f>+SUM(Y13:Y16)</f>
        <v>3</v>
      </c>
      <c r="Z17" s="118"/>
      <c r="AA17" s="41">
        <f>+SUM(AA13:AA16)</f>
        <v>5</v>
      </c>
      <c r="AB17" s="118"/>
      <c r="AC17" s="41">
        <f>+SUM(AC13:AC16)</f>
        <v>1</v>
      </c>
      <c r="AD17" s="118"/>
      <c r="AE17" s="41">
        <f>+SUM(AE13:AE16)</f>
        <v>590</v>
      </c>
      <c r="AF17" s="118"/>
      <c r="AG17" s="41">
        <f>+SUM(AG13:AG16)</f>
        <v>242</v>
      </c>
      <c r="AH17" s="42"/>
      <c r="AI17" s="41">
        <f>+SUM(AI13:AI16)</f>
        <v>575</v>
      </c>
      <c r="AJ17" s="42"/>
      <c r="AK17" s="41">
        <f>+SUM(AK13:AK16)</f>
        <v>255</v>
      </c>
      <c r="AL17" s="42"/>
      <c r="AM17" s="41">
        <f>+SUM(AM13:AM16)</f>
        <v>661</v>
      </c>
      <c r="AN17" s="42"/>
      <c r="AO17" s="41">
        <f>+SUM(AO13:AO16)</f>
        <v>0</v>
      </c>
      <c r="AP17" s="42"/>
      <c r="AQ17" s="41">
        <f>+SUM(AQ13:AQ16)</f>
        <v>470</v>
      </c>
      <c r="AR17" s="42"/>
      <c r="AS17" s="41">
        <f>+SUM(AS13:AS16)</f>
        <v>455</v>
      </c>
      <c r="AT17" s="42"/>
      <c r="AU17" s="41">
        <f>+SUM(AU13:AU16)</f>
        <v>227</v>
      </c>
      <c r="AV17" s="42"/>
      <c r="AW17" s="41">
        <f>+SUM(AW13:AW16)</f>
        <v>563</v>
      </c>
      <c r="AX17" s="42"/>
      <c r="AY17" s="42"/>
      <c r="AZ17" s="111"/>
      <c r="BA17" s="42"/>
      <c r="BB17" s="114"/>
      <c r="BF17" s="114"/>
      <c r="BG17" s="42"/>
      <c r="BH17" s="118"/>
      <c r="BI17" s="118"/>
      <c r="BJ17" s="118"/>
      <c r="BK17" s="118"/>
      <c r="BL17" s="118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</row>
    <row r="18" spans="1:107" s="10" customFormat="1" x14ac:dyDescent="0.2">
      <c r="A18" s="3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110"/>
      <c r="AZ18" s="110"/>
      <c r="BA18" s="110"/>
      <c r="BB18" s="110"/>
      <c r="BC18" s="110"/>
      <c r="BD18" s="110"/>
      <c r="BE18" s="110"/>
      <c r="BF18" s="110"/>
      <c r="BG18" s="20"/>
      <c r="BH18" s="35"/>
      <c r="BI18" s="35"/>
      <c r="BJ18" s="35"/>
      <c r="BK18" s="35"/>
      <c r="BL18" s="35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</row>
    <row r="19" spans="1:107" s="10" customFormat="1" x14ac:dyDescent="0.2">
      <c r="A19" s="3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110"/>
      <c r="AZ19" s="110"/>
      <c r="BA19" s="110"/>
      <c r="BB19" s="110"/>
      <c r="BC19" s="110"/>
      <c r="BD19" s="110"/>
      <c r="BE19" s="110"/>
      <c r="BF19" s="110"/>
      <c r="BG19" s="20"/>
      <c r="BH19" s="35"/>
      <c r="BI19" s="35"/>
      <c r="BJ19" s="35"/>
      <c r="BK19" s="35"/>
      <c r="BL19" s="35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</row>
    <row r="20" spans="1:107" x14ac:dyDescent="0.2"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BH20" s="35"/>
      <c r="BI20" s="35"/>
      <c r="BJ20" s="35"/>
      <c r="BK20" s="35"/>
      <c r="BL20" s="35"/>
    </row>
    <row r="21" spans="1:107" x14ac:dyDescent="0.2">
      <c r="A21" s="36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BH21" s="35"/>
      <c r="BI21" s="35"/>
      <c r="BJ21" s="35"/>
      <c r="BK21" s="35"/>
      <c r="BL21" s="35"/>
    </row>
    <row r="22" spans="1:107" x14ac:dyDescent="0.2">
      <c r="A22" s="36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BH22" s="35"/>
      <c r="BI22" s="35"/>
      <c r="BJ22" s="35"/>
      <c r="BK22" s="35"/>
      <c r="BL22" s="35"/>
    </row>
    <row r="23" spans="1:107" x14ac:dyDescent="0.2">
      <c r="A23" s="3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BH23" s="35"/>
      <c r="BI23" s="35"/>
      <c r="BJ23" s="35"/>
      <c r="BK23" s="35"/>
      <c r="BL23" s="35"/>
    </row>
    <row r="24" spans="1:107" x14ac:dyDescent="0.2">
      <c r="BH24" s="35"/>
      <c r="BI24" s="35"/>
      <c r="BJ24" s="35"/>
      <c r="BK24" s="35"/>
      <c r="BL24" s="35"/>
    </row>
    <row r="25" spans="1:107" x14ac:dyDescent="0.2">
      <c r="BH25" s="35"/>
      <c r="BI25" s="35"/>
      <c r="BJ25" s="35"/>
      <c r="BK25" s="35"/>
      <c r="BL25" s="35"/>
    </row>
    <row r="26" spans="1:107" x14ac:dyDescent="0.2">
      <c r="BH26" s="35"/>
      <c r="BI26" s="35"/>
      <c r="BJ26" s="35"/>
      <c r="BK26" s="35"/>
      <c r="BL26" s="35"/>
    </row>
    <row r="27" spans="1:107" x14ac:dyDescent="0.2">
      <c r="BH27" s="35"/>
      <c r="BI27" s="35"/>
      <c r="BJ27" s="35"/>
      <c r="BK27" s="35"/>
      <c r="BL27" s="35"/>
    </row>
    <row r="28" spans="1:107" x14ac:dyDescent="0.2">
      <c r="BH28" s="35"/>
      <c r="BI28" s="35"/>
      <c r="BJ28" s="35"/>
      <c r="BK28" s="35"/>
      <c r="BL28" s="35"/>
    </row>
    <row r="29" spans="1:107" x14ac:dyDescent="0.2">
      <c r="BH29" s="35"/>
      <c r="BI29" s="35"/>
      <c r="BJ29" s="35"/>
      <c r="BK29" s="35"/>
      <c r="BL29" s="35"/>
    </row>
    <row r="30" spans="1:107" x14ac:dyDescent="0.2">
      <c r="BH30" s="20"/>
      <c r="BI30" s="20"/>
      <c r="BJ30" s="20"/>
      <c r="BK30" s="20"/>
      <c r="BL30" s="20"/>
    </row>
    <row r="31" spans="1:107" x14ac:dyDescent="0.2">
      <c r="BH31" s="35"/>
      <c r="BI31" s="35"/>
      <c r="BJ31" s="35"/>
      <c r="BK31" s="35"/>
      <c r="BL31" s="35"/>
    </row>
    <row r="32" spans="1:107" x14ac:dyDescent="0.2">
      <c r="BH32" s="35"/>
      <c r="BI32" s="35"/>
      <c r="BJ32" s="35"/>
      <c r="BK32" s="35"/>
      <c r="BL32" s="35"/>
    </row>
    <row r="33" spans="3:64" x14ac:dyDescent="0.2"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BH33" s="35"/>
      <c r="BI33" s="35"/>
      <c r="BJ33" s="35"/>
      <c r="BK33" s="35"/>
      <c r="BL33" s="35"/>
    </row>
    <row r="34" spans="3:64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BH34" s="20"/>
      <c r="BI34" s="20"/>
      <c r="BJ34" s="20"/>
      <c r="BK34" s="20"/>
      <c r="BL34" s="20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AA12" sqref="AA12:AG14"/>
      <colBreaks count="2" manualBreakCount="2">
        <brk id="25" max="14" man="1"/>
        <brk id="53" max="14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&amp;C&amp;"Arial,Bold"&amp;11Estell Manor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printArea="1" view="pageBreakPreview">
      <pane xSplit="1" ySplit="5" topLeftCell="F6" activePane="bottomRight" state="frozen"/>
      <selection pane="bottomRight" activeCell="AE33" sqref="AE33"/>
      <colBreaks count="2" manualBreakCount="2">
        <brk id="25" max="14" man="1"/>
        <brk id="53" max="14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&amp;C&amp;"Arial,Bold"&amp;11Estell Manor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printArea="1" view="pageBreakPreview">
      <pane xSplit="1" ySplit="5" topLeftCell="F6" activePane="bottomRight" state="frozen"/>
      <selection pane="bottomRight" activeCell="AE33" sqref="AE33"/>
      <colBreaks count="2" manualBreakCount="2">
        <brk id="25" max="14" man="1"/>
        <brk id="53" max="14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&amp;C&amp;"Arial,Bold"&amp;11Estell Manor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printArea="1" view="pageBreakPreview">
      <pane xSplit="1" ySplit="5" topLeftCell="F6" activePane="bottomRight" state="frozen"/>
      <selection pane="bottomRight" activeCell="AE33" sqref="AE33"/>
      <colBreaks count="2" manualBreakCount="2">
        <brk id="25" max="14" man="1"/>
        <brk id="53" max="14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&amp;C&amp;"Arial,Bold"&amp;11Estell Manor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printArea="1" view="pageBreakPreview">
      <pane xSplit="1" ySplit="5" topLeftCell="F6" activePane="bottomRight" state="frozen"/>
      <selection pane="bottomRight" activeCell="AE1" sqref="AE1"/>
      <colBreaks count="2" manualBreakCount="2">
        <brk id="25" max="14" man="1"/>
        <brk id="53" max="14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&amp;C&amp;"Arial,Bold"&amp;11Estell Manor
General Election - November 3, 2015
Prepared by the Office of Edward P. McGettigan, Atlantic County Clerk</oddHeader>
        <oddFooter>&amp;R&amp;11Page &amp;P</oddFooter>
      </headerFooter>
    </customSheetView>
  </customSheetViews>
  <mergeCells count="8">
    <mergeCell ref="AQ5:AS5"/>
    <mergeCell ref="AQ4:AS4"/>
    <mergeCell ref="AU5:AW5"/>
    <mergeCell ref="AE5:AG5"/>
    <mergeCell ref="C5:Q5"/>
    <mergeCell ref="S5:AC5"/>
    <mergeCell ref="AI5:AK5"/>
    <mergeCell ref="AM5:AO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&amp;C&amp;"Arial,Bold"&amp;11Estell Manor
General Election - November 6, 2018
Prepared by the Office of Edward P. McGettigan, Atlantic County Clerk</oddHeader>
    <oddFooter>&amp;R&amp;11Page &amp;P</oddFooter>
  </headerFooter>
  <colBreaks count="1" manualBreakCount="1">
    <brk id="29" max="17" man="1"/>
  </colBreaks>
  <drawing r:id="rId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2:DB27"/>
  <sheetViews>
    <sheetView zoomScale="75" zoomScaleNormal="75" zoomScaleSheetLayoutView="75" workbookViewId="0">
      <pane xSplit="1" ySplit="8" topLeftCell="J9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11" customWidth="1"/>
    <col min="5" max="5" width="11" style="33" customWidth="1"/>
    <col min="6" max="6" width="1.7109375" style="11" customWidth="1"/>
    <col min="7" max="7" width="15.85546875" style="33" customWidth="1"/>
    <col min="8" max="8" width="1.7109375" style="11" customWidth="1"/>
    <col min="9" max="9" width="12.140625" style="33" customWidth="1"/>
    <col min="10" max="10" width="1.7109375" style="11" customWidth="1"/>
    <col min="11" max="11" width="15.85546875" style="33" customWidth="1"/>
    <col min="12" max="12" width="1.7109375" style="11" customWidth="1"/>
    <col min="13" max="13" width="12.140625" style="33" customWidth="1"/>
    <col min="14" max="14" width="1.7109375" style="11" customWidth="1"/>
    <col min="15" max="15" width="12.140625" style="33" customWidth="1"/>
    <col min="16" max="16" width="1.7109375" style="11" customWidth="1"/>
    <col min="17" max="17" width="14.140625" style="33" customWidth="1"/>
    <col min="18" max="18" width="1.7109375" style="11" customWidth="1"/>
    <col min="19" max="19" width="13" style="33" customWidth="1"/>
    <col min="20" max="20" width="1.7109375" style="11" customWidth="1"/>
    <col min="21" max="21" width="11.140625" style="33" customWidth="1"/>
    <col min="22" max="22" width="1.7109375" style="11" customWidth="1"/>
    <col min="23" max="23" width="12.140625" style="33" customWidth="1"/>
    <col min="24" max="24" width="1.7109375" style="11" customWidth="1"/>
    <col min="25" max="25" width="12.140625" style="33" customWidth="1"/>
    <col min="26" max="26" width="1.7109375" style="11" customWidth="1"/>
    <col min="27" max="27" width="12" style="33" customWidth="1"/>
    <col min="28" max="28" width="1.7109375" style="11" customWidth="1"/>
    <col min="29" max="29" width="11.85546875" style="33" customWidth="1"/>
    <col min="30" max="30" width="1.7109375" style="11" customWidth="1"/>
    <col min="31" max="31" width="12.140625" style="33" customWidth="1"/>
    <col min="32" max="32" width="1.7109375" style="11" customWidth="1"/>
    <col min="33" max="33" width="14.42578125" style="33" customWidth="1"/>
    <col min="34" max="34" width="1.7109375" style="11" customWidth="1"/>
    <col min="35" max="35" width="12.140625" style="33" customWidth="1"/>
    <col min="36" max="36" width="1.7109375" style="11" customWidth="1"/>
    <col min="37" max="37" width="12.140625" style="33" customWidth="1"/>
    <col min="38" max="38" width="1.7109375" style="11" customWidth="1"/>
    <col min="39" max="39" width="13" style="33" customWidth="1"/>
    <col min="40" max="40" width="1.7109375" style="11" customWidth="1"/>
    <col min="41" max="41" width="12.140625" style="33" customWidth="1"/>
    <col min="42" max="42" width="1.7109375" style="11" customWidth="1"/>
    <col min="43" max="43" width="12.140625" style="33" customWidth="1"/>
    <col min="44" max="44" width="1.7109375" style="11" customWidth="1"/>
    <col min="45" max="45" width="12.140625" style="33" customWidth="1"/>
    <col min="46" max="46" width="1.7109375" style="11" customWidth="1"/>
    <col min="47" max="47" width="14.5703125" style="33" customWidth="1"/>
    <col min="48" max="48" width="1.7109375" style="11" customWidth="1"/>
    <col min="49" max="49" width="12.140625" style="33" customWidth="1"/>
    <col min="50" max="50" width="1.7109375" style="11" customWidth="1"/>
    <col min="51" max="51" width="12.140625" style="33" customWidth="1"/>
    <col min="52" max="52" width="1.7109375" style="11" customWidth="1"/>
    <col min="53" max="53" width="9.7109375" style="33" customWidth="1"/>
    <col min="54" max="54" width="1.7109375" style="11" customWidth="1"/>
    <col min="55" max="55" width="9.7109375" style="33" customWidth="1"/>
    <col min="56" max="56" width="1.7109375" style="11" customWidth="1"/>
    <col min="57" max="57" width="12" style="1" customWidth="1"/>
    <col min="58" max="58" width="1.7109375" style="1" customWidth="1"/>
    <col min="59" max="59" width="11.85546875" style="1" customWidth="1"/>
    <col min="60" max="60" width="1.7109375" style="1" customWidth="1"/>
    <col min="61" max="61" width="11.85546875" style="1" customWidth="1"/>
    <col min="62" max="62" width="1.7109375" style="19" customWidth="1"/>
    <col min="63" max="63" width="11.5703125" style="19" customWidth="1"/>
    <col min="64" max="64" width="1.7109375" style="19" customWidth="1"/>
    <col min="65" max="65" width="9.140625" style="19"/>
    <col min="66" max="66" width="1.7109375" style="19" customWidth="1"/>
    <col min="67" max="67" width="9.140625" style="19"/>
    <col min="68" max="68" width="1.7109375" style="19" customWidth="1"/>
    <col min="69" max="69" width="9.140625" style="19"/>
    <col min="70" max="70" width="1.7109375" style="19" customWidth="1"/>
    <col min="71" max="71" width="9.140625" style="19"/>
    <col min="72" max="72" width="1.7109375" style="19" customWidth="1"/>
    <col min="73" max="73" width="9.140625" style="19"/>
    <col min="74" max="74" width="1.7109375" style="19" customWidth="1"/>
    <col min="75" max="75" width="9.140625" style="19"/>
    <col min="76" max="76" width="1.7109375" style="19" customWidth="1"/>
    <col min="77" max="106" width="9.140625" style="19"/>
    <col min="107" max="16384" width="9.140625" style="11"/>
  </cols>
  <sheetData>
    <row r="2" spans="1:106" x14ac:dyDescent="0.2">
      <c r="C2" s="278"/>
      <c r="D2" s="278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50"/>
      <c r="R2" s="50"/>
      <c r="S2" s="50"/>
      <c r="T2" s="282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282"/>
      <c r="AG2" s="282"/>
      <c r="AH2" s="282"/>
      <c r="AI2" s="282"/>
      <c r="AJ2" s="282"/>
      <c r="AK2" s="282"/>
      <c r="AL2" s="282"/>
      <c r="AM2" s="282"/>
      <c r="AN2" s="282"/>
      <c r="AO2" s="282"/>
      <c r="AP2" s="282"/>
      <c r="AQ2" s="282"/>
      <c r="AR2" s="282"/>
      <c r="AS2" s="282"/>
    </row>
    <row r="3" spans="1:106" x14ac:dyDescent="0.2">
      <c r="C3" s="278"/>
      <c r="D3" s="278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79"/>
      <c r="R3" s="279"/>
      <c r="S3" s="279"/>
      <c r="T3" s="282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</row>
    <row r="4" spans="1:106" s="407" customFormat="1" ht="15" x14ac:dyDescent="0.25">
      <c r="A4" s="309"/>
      <c r="C4" s="154"/>
      <c r="D4" s="154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U4" s="459" t="s">
        <v>115</v>
      </c>
      <c r="AV4" s="459"/>
      <c r="AW4" s="459"/>
      <c r="AX4" s="459"/>
      <c r="AY4" s="459"/>
      <c r="BA4" s="408"/>
      <c r="BC4" s="408"/>
      <c r="BE4" s="360"/>
      <c r="BF4" s="360"/>
      <c r="BG4" s="360"/>
      <c r="BH4" s="360"/>
      <c r="BI4" s="360"/>
      <c r="BJ4" s="409"/>
      <c r="BK4" s="409"/>
      <c r="BL4" s="409"/>
      <c r="BM4" s="409"/>
      <c r="BN4" s="409"/>
      <c r="BO4" s="409"/>
      <c r="BP4" s="409"/>
      <c r="BQ4" s="409"/>
      <c r="BR4" s="409"/>
      <c r="BS4" s="409"/>
      <c r="BT4" s="409"/>
      <c r="BU4" s="409"/>
      <c r="BV4" s="409"/>
      <c r="BW4" s="409"/>
      <c r="BX4" s="409"/>
      <c r="BY4" s="409"/>
      <c r="BZ4" s="409"/>
      <c r="CA4" s="409"/>
      <c r="CB4" s="409"/>
      <c r="CC4" s="409"/>
      <c r="CD4" s="409"/>
      <c r="CE4" s="409"/>
      <c r="CF4" s="409"/>
      <c r="CG4" s="409"/>
      <c r="CH4" s="409"/>
      <c r="CI4" s="409"/>
      <c r="CJ4" s="409"/>
      <c r="CK4" s="409"/>
      <c r="CL4" s="409"/>
      <c r="CM4" s="409"/>
      <c r="CN4" s="409"/>
      <c r="CO4" s="409"/>
      <c r="CP4" s="409"/>
      <c r="CQ4" s="409"/>
      <c r="CR4" s="409"/>
      <c r="CS4" s="409"/>
      <c r="CT4" s="409"/>
      <c r="CU4" s="409"/>
      <c r="CV4" s="409"/>
      <c r="CW4" s="409"/>
      <c r="CX4" s="409"/>
      <c r="CY4" s="409"/>
      <c r="CZ4" s="409"/>
      <c r="DA4" s="409"/>
      <c r="DB4" s="409"/>
    </row>
    <row r="5" spans="1:106" s="407" customFormat="1" ht="15.75" thickBot="1" x14ac:dyDescent="0.3">
      <c r="A5" s="309"/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142"/>
      <c r="AE5" s="470" t="s">
        <v>80</v>
      </c>
      <c r="AF5" s="470"/>
      <c r="AG5" s="470"/>
      <c r="AH5" s="376"/>
      <c r="AI5" s="471" t="s">
        <v>185</v>
      </c>
      <c r="AJ5" s="471"/>
      <c r="AK5" s="471"/>
      <c r="AL5" s="323"/>
      <c r="AM5" s="464" t="s">
        <v>117</v>
      </c>
      <c r="AN5" s="464"/>
      <c r="AO5" s="464"/>
      <c r="AP5" s="464"/>
      <c r="AQ5" s="464"/>
      <c r="AR5" s="464"/>
      <c r="AS5" s="464"/>
      <c r="AU5" s="459" t="s">
        <v>116</v>
      </c>
      <c r="AV5" s="459"/>
      <c r="AW5" s="459"/>
      <c r="AX5" s="459"/>
      <c r="AY5" s="459"/>
      <c r="AZ5" s="321"/>
      <c r="BA5" s="457" t="s">
        <v>196</v>
      </c>
      <c r="BB5" s="457"/>
      <c r="BC5" s="457"/>
      <c r="BD5" s="321"/>
      <c r="BE5" s="360"/>
      <c r="BF5" s="360"/>
      <c r="BG5" s="360"/>
      <c r="BH5" s="360"/>
      <c r="BI5" s="360"/>
      <c r="BJ5" s="409"/>
      <c r="BK5" s="409"/>
      <c r="BL5" s="409"/>
      <c r="BM5" s="409"/>
      <c r="BN5" s="409"/>
      <c r="BO5" s="409"/>
      <c r="BP5" s="409"/>
      <c r="BQ5" s="409"/>
      <c r="BR5" s="409"/>
      <c r="BS5" s="409"/>
      <c r="BT5" s="409"/>
      <c r="BU5" s="409"/>
      <c r="BV5" s="409"/>
      <c r="BW5" s="409"/>
      <c r="BX5" s="409"/>
      <c r="BY5" s="409"/>
      <c r="BZ5" s="409"/>
      <c r="CA5" s="409"/>
      <c r="CB5" s="409"/>
      <c r="CC5" s="409"/>
      <c r="CD5" s="409"/>
      <c r="CE5" s="409"/>
      <c r="CF5" s="409"/>
      <c r="CG5" s="409"/>
      <c r="CH5" s="409"/>
      <c r="CI5" s="409"/>
      <c r="CJ5" s="409"/>
      <c r="CK5" s="409"/>
      <c r="CL5" s="409"/>
      <c r="CM5" s="409"/>
      <c r="CN5" s="409"/>
      <c r="CO5" s="409"/>
      <c r="CP5" s="409"/>
      <c r="CQ5" s="409"/>
      <c r="CR5" s="409"/>
      <c r="CS5" s="409"/>
      <c r="CT5" s="409"/>
      <c r="CU5" s="409"/>
      <c r="CV5" s="409"/>
      <c r="CW5" s="409"/>
      <c r="CX5" s="409"/>
      <c r="CY5" s="409"/>
      <c r="CZ5" s="409"/>
      <c r="DA5" s="409"/>
      <c r="DB5" s="409"/>
    </row>
    <row r="6" spans="1:106" ht="15" x14ac:dyDescent="0.2"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142"/>
      <c r="AE6" s="172"/>
      <c r="AF6" s="173"/>
      <c r="AG6" s="174"/>
      <c r="AH6" s="267"/>
      <c r="AI6" s="386"/>
      <c r="AJ6" s="387"/>
      <c r="AK6" s="388" t="str">
        <f>+'Lead Sheet '!AO4</f>
        <v>Barbara</v>
      </c>
      <c r="AL6" s="282"/>
      <c r="AM6" s="103"/>
      <c r="AN6" s="104"/>
      <c r="AO6" s="104"/>
      <c r="AP6" s="104"/>
      <c r="AQ6" s="92" t="s">
        <v>195</v>
      </c>
      <c r="AR6" s="104"/>
      <c r="AS6" s="102" t="s">
        <v>195</v>
      </c>
      <c r="AU6" s="193"/>
      <c r="AV6" s="186"/>
      <c r="AW6" s="186"/>
      <c r="AX6" s="186"/>
      <c r="AY6" s="194"/>
      <c r="AZ6" s="285"/>
      <c r="BA6" s="172"/>
      <c r="BB6" s="173"/>
      <c r="BC6" s="174"/>
      <c r="BD6" s="285"/>
      <c r="BE6" s="79"/>
      <c r="BF6" s="77"/>
      <c r="BG6" s="81"/>
      <c r="BH6" s="77"/>
      <c r="BI6" s="81"/>
      <c r="BJ6" s="77"/>
      <c r="BK6" s="81"/>
      <c r="BL6" s="77"/>
      <c r="BM6" s="82"/>
    </row>
    <row r="7" spans="1:106" ht="15" x14ac:dyDescent="0.25"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106" t="str">
        <f>+'Lead Sheet '!AM5</f>
        <v>James</v>
      </c>
      <c r="AJ7" s="282"/>
      <c r="AK7" s="107" t="str">
        <f>+'Lead Sheet '!AO5</f>
        <v>BUTTERHOF</v>
      </c>
      <c r="AL7" s="282"/>
      <c r="AM7" s="106" t="s">
        <v>133</v>
      </c>
      <c r="AN7" s="282"/>
      <c r="AO7" s="95" t="s">
        <v>120</v>
      </c>
      <c r="AP7" s="282"/>
      <c r="AQ7" s="95" t="s">
        <v>118</v>
      </c>
      <c r="AR7" s="282"/>
      <c r="AS7" s="107" t="s">
        <v>118</v>
      </c>
      <c r="AU7" s="189" t="s">
        <v>310</v>
      </c>
      <c r="AV7" s="285"/>
      <c r="AW7" s="285" t="s">
        <v>311</v>
      </c>
      <c r="AX7" s="285"/>
      <c r="AY7" s="187" t="s">
        <v>313</v>
      </c>
      <c r="AZ7" s="285"/>
      <c r="BA7" s="155"/>
      <c r="BB7" s="137"/>
      <c r="BC7" s="156"/>
      <c r="BD7" s="285"/>
      <c r="BE7" s="78" t="s">
        <v>24</v>
      </c>
      <c r="BF7" s="76"/>
      <c r="BG7" s="83" t="s">
        <v>24</v>
      </c>
      <c r="BH7" s="76"/>
      <c r="BI7" s="83" t="s">
        <v>24</v>
      </c>
      <c r="BJ7" s="76"/>
      <c r="BK7" s="83" t="s">
        <v>24</v>
      </c>
      <c r="BL7" s="76"/>
      <c r="BM7" s="84" t="s">
        <v>24</v>
      </c>
    </row>
    <row r="8" spans="1:106" ht="14.25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106" t="str">
        <f>+'Lead Sheet '!AM6</f>
        <v>BERTINO</v>
      </c>
      <c r="AJ8" s="282"/>
      <c r="AK8" s="107" t="str">
        <f>+'Lead Sheet '!AO6</f>
        <v>RHEAULT</v>
      </c>
      <c r="AL8" s="282"/>
      <c r="AM8" s="106" t="s">
        <v>308</v>
      </c>
      <c r="AN8" s="282"/>
      <c r="AO8" s="95" t="s">
        <v>309</v>
      </c>
      <c r="AP8" s="282"/>
      <c r="AQ8" s="95" t="s">
        <v>119</v>
      </c>
      <c r="AR8" s="282"/>
      <c r="AS8" s="107" t="s">
        <v>119</v>
      </c>
      <c r="AU8" s="90" t="s">
        <v>315</v>
      </c>
      <c r="AV8" s="285"/>
      <c r="AW8" s="285" t="s">
        <v>312</v>
      </c>
      <c r="AX8" s="285"/>
      <c r="AY8" s="187" t="s">
        <v>314</v>
      </c>
      <c r="AZ8" s="285"/>
      <c r="BA8" s="315" t="s">
        <v>106</v>
      </c>
      <c r="BB8" s="143"/>
      <c r="BC8" s="316" t="s">
        <v>107</v>
      </c>
      <c r="BD8" s="285"/>
      <c r="BE8" s="78" t="s">
        <v>83</v>
      </c>
      <c r="BF8" s="76"/>
      <c r="BG8" s="83" t="s">
        <v>84</v>
      </c>
      <c r="BH8" s="76"/>
      <c r="BI8" s="83" t="s">
        <v>85</v>
      </c>
      <c r="BJ8" s="76"/>
      <c r="BK8" s="83" t="s">
        <v>86</v>
      </c>
      <c r="BL8" s="76"/>
      <c r="BM8" s="84" t="s">
        <v>87</v>
      </c>
    </row>
    <row r="9" spans="1:106" ht="14.25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106" t="str">
        <f>+'Lead Sheet '!AM7</f>
        <v>Republican</v>
      </c>
      <c r="AJ9" s="282"/>
      <c r="AK9" s="107" t="str">
        <f>+'Lead Sheet '!AO7</f>
        <v>Democratic</v>
      </c>
      <c r="AL9" s="282"/>
      <c r="AM9" s="106" t="s">
        <v>93</v>
      </c>
      <c r="AN9" s="282"/>
      <c r="AO9" s="95" t="s">
        <v>93</v>
      </c>
      <c r="AP9" s="282"/>
      <c r="AQ9" s="95" t="s">
        <v>99</v>
      </c>
      <c r="AR9" s="282"/>
      <c r="AS9" s="107" t="s">
        <v>99</v>
      </c>
      <c r="AU9" s="189"/>
      <c r="AV9" s="285"/>
      <c r="AW9" s="285"/>
      <c r="AX9" s="285"/>
      <c r="AY9" s="187"/>
      <c r="AZ9" s="285"/>
      <c r="BA9" s="296"/>
      <c r="BB9" s="295"/>
      <c r="BC9" s="297"/>
      <c r="BD9" s="285"/>
      <c r="BE9" s="78" t="s">
        <v>89</v>
      </c>
      <c r="BF9" s="76"/>
      <c r="BG9" s="83" t="s">
        <v>90</v>
      </c>
      <c r="BH9" s="76"/>
      <c r="BI9" s="83" t="s">
        <v>89</v>
      </c>
      <c r="BJ9" s="76"/>
      <c r="BK9" s="83" t="s">
        <v>89</v>
      </c>
      <c r="BL9" s="76"/>
      <c r="BM9" s="84" t="s">
        <v>89</v>
      </c>
    </row>
    <row r="10" spans="1:106" ht="15" thickBot="1" x14ac:dyDescent="0.25"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82"/>
      <c r="AM10" s="120"/>
      <c r="AN10" s="281"/>
      <c r="AO10" s="281"/>
      <c r="AP10" s="281"/>
      <c r="AQ10" s="281"/>
      <c r="AR10" s="281"/>
      <c r="AS10" s="121"/>
      <c r="AU10" s="195"/>
      <c r="AV10" s="196"/>
      <c r="AW10" s="196"/>
      <c r="AX10" s="196"/>
      <c r="AY10" s="197"/>
      <c r="AZ10" s="285"/>
      <c r="BA10" s="337"/>
      <c r="BB10" s="330"/>
      <c r="BC10" s="346"/>
      <c r="BD10" s="285"/>
      <c r="BE10" s="80"/>
      <c r="BF10" s="85"/>
      <c r="BG10" s="85"/>
      <c r="BH10" s="85"/>
      <c r="BI10" s="85"/>
      <c r="BJ10" s="85"/>
      <c r="BK10" s="85"/>
      <c r="BL10" s="85"/>
      <c r="BM10" s="86"/>
    </row>
    <row r="11" spans="1:106" x14ac:dyDescent="0.2">
      <c r="A11" s="9" t="s">
        <v>71</v>
      </c>
      <c r="C11" s="18">
        <f>185+196</f>
        <v>381</v>
      </c>
      <c r="E11" s="18">
        <f>110+99</f>
        <v>209</v>
      </c>
      <c r="G11" s="18">
        <f>3+1</f>
        <v>4</v>
      </c>
      <c r="I11" s="18">
        <v>1</v>
      </c>
      <c r="K11" s="18">
        <f>2+1</f>
        <v>3</v>
      </c>
      <c r="M11" s="18">
        <v>3</v>
      </c>
      <c r="O11" s="18">
        <v>1</v>
      </c>
      <c r="P11" s="37"/>
      <c r="Q11" s="18">
        <v>0</v>
      </c>
      <c r="R11" s="37"/>
      <c r="S11" s="18">
        <f>174+187</f>
        <v>361</v>
      </c>
      <c r="U11" s="18">
        <f>123+109</f>
        <v>232</v>
      </c>
      <c r="W11" s="18">
        <f>1+1</f>
        <v>2</v>
      </c>
      <c r="Y11" s="18">
        <v>0</v>
      </c>
      <c r="AA11" s="18">
        <f>3+1</f>
        <v>4</v>
      </c>
      <c r="AC11" s="18">
        <v>3</v>
      </c>
      <c r="AE11" s="18">
        <f>195+201</f>
        <v>396</v>
      </c>
      <c r="AG11" s="18">
        <f>105+93</f>
        <v>198</v>
      </c>
      <c r="AI11" s="18">
        <f>197+198</f>
        <v>395</v>
      </c>
      <c r="AK11" s="18">
        <f>103+97</f>
        <v>200</v>
      </c>
      <c r="AM11" s="18">
        <f>234+230</f>
        <v>464</v>
      </c>
      <c r="AO11" s="18">
        <f>230+225</f>
        <v>455</v>
      </c>
      <c r="AQ11" s="18"/>
      <c r="AS11" s="18"/>
      <c r="AU11" s="18">
        <f>173+173</f>
        <v>346</v>
      </c>
      <c r="AW11" s="18">
        <f>148+151</f>
        <v>299</v>
      </c>
      <c r="AY11" s="18">
        <f>148+157</f>
        <v>305</v>
      </c>
      <c r="BA11" s="18">
        <f>99+100</f>
        <v>199</v>
      </c>
      <c r="BC11" s="18">
        <f>169+168</f>
        <v>337</v>
      </c>
      <c r="BE11" s="18">
        <f>314+304</f>
        <v>618</v>
      </c>
      <c r="BF11" s="11"/>
      <c r="BG11" s="18">
        <v>61</v>
      </c>
      <c r="BH11" s="33"/>
      <c r="BI11" s="18">
        <v>8</v>
      </c>
      <c r="BJ11" s="1"/>
      <c r="BK11" s="18"/>
      <c r="BM11" s="18">
        <f>+SUM(BE11:BK11)</f>
        <v>687</v>
      </c>
    </row>
    <row r="12" spans="1:106" ht="13.5" thickBot="1" x14ac:dyDescent="0.25">
      <c r="C12" s="19"/>
      <c r="E12" s="19"/>
      <c r="G12" s="19"/>
      <c r="I12" s="19"/>
      <c r="K12" s="19"/>
      <c r="M12" s="19"/>
      <c r="O12" s="19"/>
      <c r="Q12" s="19"/>
      <c r="S12" s="19"/>
      <c r="U12" s="19"/>
      <c r="W12" s="19"/>
      <c r="Y12" s="19"/>
      <c r="AA12" s="19"/>
      <c r="AC12" s="19"/>
      <c r="AE12" s="19"/>
      <c r="AG12" s="19"/>
      <c r="AI12" s="19"/>
      <c r="AK12" s="19"/>
      <c r="AM12" s="19"/>
      <c r="AO12" s="19"/>
      <c r="AQ12" s="19"/>
      <c r="AS12" s="19"/>
      <c r="AU12" s="19"/>
      <c r="AW12" s="19"/>
      <c r="AY12" s="19"/>
      <c r="BA12" s="19"/>
      <c r="BC12" s="19"/>
      <c r="BE12" s="19"/>
      <c r="BF12" s="11"/>
      <c r="BG12" s="19"/>
      <c r="BH12" s="33"/>
      <c r="BI12" s="19"/>
      <c r="BJ12" s="1"/>
    </row>
    <row r="13" spans="1:106" s="48" customFormat="1" ht="13.5" thickBot="1" x14ac:dyDescent="0.25">
      <c r="A13" s="3" t="s">
        <v>24</v>
      </c>
      <c r="C13" s="41">
        <f>+C11</f>
        <v>381</v>
      </c>
      <c r="E13" s="41">
        <f>+E11</f>
        <v>209</v>
      </c>
      <c r="G13" s="41">
        <f>+G11</f>
        <v>4</v>
      </c>
      <c r="I13" s="41">
        <f>+I11</f>
        <v>1</v>
      </c>
      <c r="K13" s="41">
        <f>+K11</f>
        <v>3</v>
      </c>
      <c r="M13" s="41">
        <f>+M11</f>
        <v>3</v>
      </c>
      <c r="O13" s="41">
        <f>+O11</f>
        <v>1</v>
      </c>
      <c r="Q13" s="41">
        <f>+Q11</f>
        <v>0</v>
      </c>
      <c r="S13" s="41">
        <f>+S11</f>
        <v>361</v>
      </c>
      <c r="U13" s="41">
        <f>+U11</f>
        <v>232</v>
      </c>
      <c r="W13" s="41">
        <f>+W11</f>
        <v>2</v>
      </c>
      <c r="Y13" s="41">
        <f>+Y11</f>
        <v>0</v>
      </c>
      <c r="AA13" s="41">
        <f>+AA11</f>
        <v>4</v>
      </c>
      <c r="AC13" s="41">
        <f>+AC11</f>
        <v>3</v>
      </c>
      <c r="AE13" s="41">
        <f>+AE11</f>
        <v>396</v>
      </c>
      <c r="AG13" s="41">
        <f>+AG11</f>
        <v>198</v>
      </c>
      <c r="AI13" s="41">
        <f>+AI11</f>
        <v>395</v>
      </c>
      <c r="AK13" s="41">
        <f>+AK11</f>
        <v>200</v>
      </c>
      <c r="AM13" s="41">
        <f>+AM11</f>
        <v>464</v>
      </c>
      <c r="AO13" s="41">
        <f>+AO11</f>
        <v>455</v>
      </c>
      <c r="AQ13" s="41">
        <f>+AQ11</f>
        <v>0</v>
      </c>
      <c r="AS13" s="41">
        <f>+AS11</f>
        <v>0</v>
      </c>
      <c r="AU13" s="41">
        <f>+AU11</f>
        <v>346</v>
      </c>
      <c r="AW13" s="41">
        <f>+AW11</f>
        <v>299</v>
      </c>
      <c r="AY13" s="41">
        <f>+AY11</f>
        <v>305</v>
      </c>
      <c r="BA13" s="41">
        <f>+BA11</f>
        <v>199</v>
      </c>
      <c r="BC13" s="41">
        <f>+BC11</f>
        <v>337</v>
      </c>
      <c r="BE13" s="41">
        <f>+BE11</f>
        <v>618</v>
      </c>
      <c r="BF13" s="44"/>
      <c r="BG13" s="41">
        <f>+BG11</f>
        <v>61</v>
      </c>
      <c r="BH13" s="43"/>
      <c r="BI13" s="41">
        <f>+BI11</f>
        <v>8</v>
      </c>
      <c r="BJ13" s="40"/>
      <c r="BK13" s="41">
        <f>+BK11</f>
        <v>0</v>
      </c>
      <c r="BL13" s="42"/>
      <c r="BM13" s="41">
        <f>+BM11</f>
        <v>687</v>
      </c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</row>
    <row r="14" spans="1:106" x14ac:dyDescent="0.2">
      <c r="A14" s="36" t="s">
        <v>73</v>
      </c>
      <c r="C14" s="19">
        <v>29</v>
      </c>
      <c r="D14" s="19"/>
      <c r="E14" s="19">
        <v>30</v>
      </c>
      <c r="F14" s="19"/>
      <c r="G14" s="19">
        <v>1</v>
      </c>
      <c r="H14" s="19"/>
      <c r="I14" s="19">
        <v>0</v>
      </c>
      <c r="J14" s="19"/>
      <c r="K14" s="19">
        <v>1</v>
      </c>
      <c r="L14" s="19"/>
      <c r="M14" s="19">
        <v>0</v>
      </c>
      <c r="N14" s="19"/>
      <c r="O14" s="19">
        <v>0</v>
      </c>
      <c r="P14" s="19"/>
      <c r="Q14" s="19">
        <v>0</v>
      </c>
      <c r="R14" s="19"/>
      <c r="S14" s="19">
        <v>25</v>
      </c>
      <c r="T14" s="19"/>
      <c r="U14" s="19">
        <v>32</v>
      </c>
      <c r="V14" s="19"/>
      <c r="W14" s="19">
        <v>0</v>
      </c>
      <c r="X14" s="19"/>
      <c r="Y14" s="19">
        <v>0</v>
      </c>
      <c r="Z14" s="19"/>
      <c r="AA14" s="19">
        <v>1</v>
      </c>
      <c r="AB14" s="19"/>
      <c r="AC14" s="19">
        <v>0</v>
      </c>
      <c r="AD14" s="19"/>
      <c r="AE14" s="19">
        <v>31</v>
      </c>
      <c r="AF14" s="19"/>
      <c r="AG14" s="19">
        <v>24</v>
      </c>
      <c r="AH14" s="19"/>
      <c r="AI14" s="19">
        <v>31</v>
      </c>
      <c r="AJ14" s="19"/>
      <c r="AK14" s="19">
        <v>27</v>
      </c>
      <c r="AL14" s="19"/>
      <c r="AM14" s="19">
        <v>38</v>
      </c>
      <c r="AN14" s="19"/>
      <c r="AO14" s="19">
        <v>39</v>
      </c>
      <c r="AP14" s="19"/>
      <c r="AQ14" s="19"/>
      <c r="AR14" s="19"/>
      <c r="AS14" s="19"/>
      <c r="AT14" s="19"/>
      <c r="AU14" s="19">
        <v>33</v>
      </c>
      <c r="AV14" s="19"/>
      <c r="AW14" s="19">
        <v>26</v>
      </c>
      <c r="AX14" s="19"/>
      <c r="AY14" s="19">
        <v>28</v>
      </c>
      <c r="AZ14" s="19"/>
      <c r="BA14" s="19">
        <v>26</v>
      </c>
      <c r="BB14" s="19"/>
      <c r="BC14" s="19">
        <v>31</v>
      </c>
      <c r="BD14" s="19"/>
      <c r="BE14" s="19"/>
    </row>
    <row r="15" spans="1:106" x14ac:dyDescent="0.2">
      <c r="A15" s="4" t="s">
        <v>25</v>
      </c>
      <c r="C15" s="19">
        <v>7</v>
      </c>
      <c r="D15" s="19"/>
      <c r="E15" s="19">
        <v>1</v>
      </c>
      <c r="F15" s="19"/>
      <c r="G15" s="19">
        <v>0</v>
      </c>
      <c r="H15" s="19"/>
      <c r="I15" s="19">
        <v>0</v>
      </c>
      <c r="J15" s="19"/>
      <c r="K15" s="19">
        <v>0</v>
      </c>
      <c r="L15" s="19"/>
      <c r="M15" s="19">
        <v>0</v>
      </c>
      <c r="N15" s="19"/>
      <c r="O15" s="19">
        <v>0</v>
      </c>
      <c r="P15" s="19"/>
      <c r="Q15" s="19">
        <v>0</v>
      </c>
      <c r="R15" s="19"/>
      <c r="S15" s="19">
        <v>7</v>
      </c>
      <c r="T15" s="19"/>
      <c r="U15" s="19">
        <v>1</v>
      </c>
      <c r="V15" s="19"/>
      <c r="W15" s="19">
        <v>0</v>
      </c>
      <c r="X15" s="19"/>
      <c r="Y15" s="19">
        <v>0</v>
      </c>
      <c r="Z15" s="19"/>
      <c r="AA15" s="19">
        <v>0</v>
      </c>
      <c r="AB15" s="19"/>
      <c r="AC15" s="19">
        <v>0</v>
      </c>
      <c r="AD15" s="19"/>
      <c r="AE15" s="19">
        <v>6</v>
      </c>
      <c r="AF15" s="19"/>
      <c r="AG15" s="19">
        <v>1</v>
      </c>
      <c r="AH15" s="19"/>
      <c r="AI15" s="19">
        <v>5</v>
      </c>
      <c r="AJ15" s="19"/>
      <c r="AK15" s="19">
        <v>1</v>
      </c>
      <c r="AL15" s="19"/>
      <c r="AM15" s="19">
        <v>6</v>
      </c>
      <c r="AN15" s="19"/>
      <c r="AO15" s="19">
        <v>4</v>
      </c>
      <c r="AP15" s="19"/>
      <c r="AQ15" s="19"/>
      <c r="AR15" s="19"/>
      <c r="AS15" s="19"/>
      <c r="AT15" s="19"/>
      <c r="AU15" s="19">
        <v>4</v>
      </c>
      <c r="AV15" s="19"/>
      <c r="AW15" s="19">
        <v>2</v>
      </c>
      <c r="AX15" s="19"/>
      <c r="AY15" s="19">
        <v>2</v>
      </c>
      <c r="AZ15" s="19"/>
      <c r="BA15" s="19">
        <v>4</v>
      </c>
      <c r="BB15" s="19"/>
      <c r="BC15" s="19">
        <v>4</v>
      </c>
      <c r="BD15" s="19"/>
      <c r="BE15" s="19"/>
    </row>
    <row r="16" spans="1:106" s="10" customFormat="1" ht="13.5" thickBot="1" x14ac:dyDescent="0.25">
      <c r="A16" s="4" t="s">
        <v>79</v>
      </c>
      <c r="C16" s="19">
        <v>0</v>
      </c>
      <c r="D16" s="19"/>
      <c r="E16" s="19">
        <v>0</v>
      </c>
      <c r="F16" s="19"/>
      <c r="G16" s="19">
        <v>0</v>
      </c>
      <c r="H16" s="19"/>
      <c r="I16" s="19">
        <v>0</v>
      </c>
      <c r="J16" s="19"/>
      <c r="K16" s="19">
        <v>0</v>
      </c>
      <c r="L16" s="19"/>
      <c r="M16" s="19">
        <v>0</v>
      </c>
      <c r="N16" s="19"/>
      <c r="O16" s="19">
        <v>0</v>
      </c>
      <c r="P16" s="19"/>
      <c r="Q16" s="19">
        <v>0</v>
      </c>
      <c r="R16" s="19"/>
      <c r="S16" s="19">
        <v>0</v>
      </c>
      <c r="T16" s="19"/>
      <c r="U16" s="19">
        <v>0</v>
      </c>
      <c r="V16" s="19"/>
      <c r="W16" s="19">
        <v>0</v>
      </c>
      <c r="X16" s="19"/>
      <c r="Y16" s="19">
        <v>0</v>
      </c>
      <c r="Z16" s="19"/>
      <c r="AA16" s="19">
        <v>0</v>
      </c>
      <c r="AB16" s="19"/>
      <c r="AC16" s="19">
        <v>0</v>
      </c>
      <c r="AD16" s="19"/>
      <c r="AE16" s="19">
        <v>0</v>
      </c>
      <c r="AF16" s="19"/>
      <c r="AG16" s="19">
        <v>0</v>
      </c>
      <c r="AH16" s="19"/>
      <c r="AI16" s="19">
        <v>0</v>
      </c>
      <c r="AJ16" s="19"/>
      <c r="AK16" s="19">
        <v>0</v>
      </c>
      <c r="AL16" s="19"/>
      <c r="AM16" s="19">
        <v>0</v>
      </c>
      <c r="AN16" s="19"/>
      <c r="AO16" s="19">
        <v>0</v>
      </c>
      <c r="AP16" s="19"/>
      <c r="AQ16" s="35" t="s">
        <v>108</v>
      </c>
      <c r="AR16" s="35" t="s">
        <v>108</v>
      </c>
      <c r="AS16" s="19"/>
      <c r="AT16" s="19"/>
      <c r="AU16" s="19">
        <v>0</v>
      </c>
      <c r="AV16" s="19"/>
      <c r="AW16" s="19">
        <v>0</v>
      </c>
      <c r="AX16" s="19"/>
      <c r="AY16" s="19">
        <v>0</v>
      </c>
      <c r="AZ16" s="19"/>
      <c r="BA16" s="19">
        <v>0</v>
      </c>
      <c r="BB16" s="19"/>
      <c r="BC16" s="19">
        <v>0</v>
      </c>
      <c r="BD16" s="19"/>
      <c r="BE16" s="19"/>
      <c r="BF16" s="1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</row>
    <row r="17" spans="1:106" s="48" customFormat="1" ht="13.5" thickBot="1" x14ac:dyDescent="0.25">
      <c r="A17" s="3" t="s">
        <v>26</v>
      </c>
      <c r="C17" s="41">
        <f>+SUM(C13:C16)</f>
        <v>417</v>
      </c>
      <c r="E17" s="41">
        <f>+SUM(E13:E16)</f>
        <v>240</v>
      </c>
      <c r="G17" s="41">
        <f>+SUM(G13:G16)</f>
        <v>5</v>
      </c>
      <c r="I17" s="41">
        <f>+SUM(I13:I16)</f>
        <v>1</v>
      </c>
      <c r="K17" s="41">
        <f>+SUM(K13:K16)</f>
        <v>4</v>
      </c>
      <c r="M17" s="41">
        <f>+SUM(M13:M16)</f>
        <v>3</v>
      </c>
      <c r="O17" s="41">
        <f>+SUM(O13:O16)</f>
        <v>1</v>
      </c>
      <c r="Q17" s="41">
        <f>+SUM(Q13:Q16)</f>
        <v>0</v>
      </c>
      <c r="S17" s="41">
        <f>+SUM(S13:S16)</f>
        <v>393</v>
      </c>
      <c r="U17" s="41">
        <f>+SUM(U13:U16)</f>
        <v>265</v>
      </c>
      <c r="W17" s="41">
        <f>+SUM(W13:W16)</f>
        <v>2</v>
      </c>
      <c r="Y17" s="41">
        <f>+SUM(Y13:Y16)</f>
        <v>0</v>
      </c>
      <c r="AA17" s="41">
        <f>+SUM(AA13:AA16)</f>
        <v>5</v>
      </c>
      <c r="AC17" s="41">
        <f>+SUM(AC13:AC16)</f>
        <v>3</v>
      </c>
      <c r="AE17" s="41">
        <f>+SUM(AE13:AE16)</f>
        <v>433</v>
      </c>
      <c r="AG17" s="41">
        <f>+SUM(AG13:AG16)</f>
        <v>223</v>
      </c>
      <c r="AI17" s="41">
        <f>+SUM(AI13:AI16)</f>
        <v>431</v>
      </c>
      <c r="AK17" s="41">
        <f>+SUM(AK13:AK16)</f>
        <v>228</v>
      </c>
      <c r="AM17" s="41">
        <f>+SUM(AM13:AM16)</f>
        <v>508</v>
      </c>
      <c r="AO17" s="41">
        <f>+SUM(AO13:AO16)</f>
        <v>498</v>
      </c>
      <c r="AQ17" s="41">
        <f>+SUM(AQ13:AQ16)</f>
        <v>0</v>
      </c>
      <c r="AS17" s="41">
        <f>+SUM(AS13:AS16)</f>
        <v>0</v>
      </c>
      <c r="AU17" s="41">
        <f>+SUM(AU13:AU16)</f>
        <v>383</v>
      </c>
      <c r="AW17" s="41">
        <f>+SUM(AW13:AW16)</f>
        <v>327</v>
      </c>
      <c r="AY17" s="41">
        <f>+SUM(AY13:AY16)</f>
        <v>335</v>
      </c>
      <c r="BA17" s="41">
        <f>+SUM(BA13:BA16)</f>
        <v>229</v>
      </c>
      <c r="BC17" s="41">
        <f>+SUM(BC13:BC16)</f>
        <v>372</v>
      </c>
      <c r="BE17" s="42"/>
      <c r="BF17" s="40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</row>
    <row r="18" spans="1:106" x14ac:dyDescent="0.2">
      <c r="C18" s="19"/>
      <c r="E18" s="19"/>
      <c r="G18" s="19"/>
      <c r="I18" s="19"/>
      <c r="K18" s="19"/>
      <c r="M18" s="19"/>
      <c r="O18" s="19"/>
      <c r="Q18" s="19"/>
      <c r="S18" s="19"/>
      <c r="U18" s="19"/>
      <c r="W18" s="19"/>
      <c r="Y18" s="19"/>
      <c r="AA18" s="19"/>
      <c r="AC18" s="19"/>
      <c r="AE18" s="19"/>
      <c r="AG18" s="19"/>
      <c r="AI18" s="19"/>
      <c r="AK18" s="19"/>
      <c r="AM18" s="19"/>
      <c r="AO18" s="19"/>
      <c r="AQ18" s="19"/>
      <c r="AS18" s="19"/>
      <c r="AU18" s="19"/>
      <c r="AW18" s="19"/>
      <c r="AY18" s="19"/>
      <c r="BA18" s="19"/>
      <c r="BC18" s="19"/>
    </row>
    <row r="19" spans="1:106" x14ac:dyDescent="0.2">
      <c r="A19" s="4"/>
      <c r="C19" s="19"/>
      <c r="E19" s="19"/>
      <c r="G19" s="19"/>
      <c r="I19" s="19"/>
      <c r="K19" s="19"/>
      <c r="M19" s="19"/>
      <c r="O19" s="19"/>
      <c r="Q19" s="19"/>
      <c r="S19" s="19"/>
      <c r="U19" s="19"/>
      <c r="W19" s="19"/>
      <c r="Y19" s="19"/>
      <c r="AA19" s="19"/>
      <c r="AC19" s="19"/>
      <c r="AE19" s="19"/>
      <c r="AG19" s="19"/>
      <c r="AI19" s="19"/>
      <c r="AK19" s="19"/>
      <c r="AM19" s="19"/>
      <c r="AO19" s="19"/>
      <c r="AQ19" s="19"/>
      <c r="AS19" s="19"/>
      <c r="AU19" s="19"/>
      <c r="AW19" s="19"/>
      <c r="AY19" s="19"/>
      <c r="BA19" s="19"/>
      <c r="BC19" s="19"/>
    </row>
    <row r="20" spans="1:106" x14ac:dyDescent="0.2">
      <c r="A20" s="3"/>
      <c r="C20" s="19"/>
      <c r="E20" s="19"/>
      <c r="G20" s="19"/>
      <c r="I20" s="19"/>
      <c r="K20" s="19"/>
      <c r="M20" s="19"/>
      <c r="O20" s="19"/>
      <c r="Q20" s="19"/>
      <c r="S20" s="19"/>
      <c r="U20" s="19"/>
      <c r="W20" s="19"/>
      <c r="Y20" s="19"/>
      <c r="AA20" s="19"/>
      <c r="AC20" s="19"/>
      <c r="AE20" s="19"/>
      <c r="AG20" s="19"/>
      <c r="AI20" s="19"/>
      <c r="AK20" s="19"/>
      <c r="AM20" s="19"/>
      <c r="AO20" s="19"/>
      <c r="AQ20" s="19"/>
      <c r="AS20" s="19"/>
      <c r="AU20" s="19"/>
      <c r="AW20" s="19"/>
      <c r="AY20" s="19"/>
      <c r="BA20" s="19"/>
      <c r="BC20" s="19"/>
    </row>
    <row r="25" spans="1:106" x14ac:dyDescent="0.2">
      <c r="C25" s="19"/>
      <c r="E25" s="19"/>
      <c r="G25" s="19"/>
      <c r="I25" s="19"/>
      <c r="K25" s="19"/>
      <c r="M25" s="19"/>
      <c r="O25" s="19"/>
      <c r="Q25" s="19"/>
      <c r="S25" s="19"/>
      <c r="U25" s="19"/>
      <c r="W25" s="19"/>
      <c r="Y25" s="19"/>
      <c r="AA25" s="19"/>
      <c r="AC25" s="19"/>
      <c r="AE25" s="19"/>
      <c r="AG25" s="19"/>
      <c r="AI25" s="19"/>
      <c r="AK25" s="19"/>
      <c r="AM25" s="19"/>
      <c r="AO25" s="19"/>
      <c r="AQ25" s="19"/>
      <c r="AS25" s="19"/>
      <c r="AU25" s="19"/>
      <c r="AW25" s="19"/>
      <c r="AY25" s="19"/>
      <c r="BA25" s="19"/>
      <c r="BC25" s="19"/>
    </row>
    <row r="26" spans="1:106" x14ac:dyDescent="0.2">
      <c r="C26" s="19"/>
      <c r="E26" s="19"/>
      <c r="G26" s="19"/>
      <c r="I26" s="19"/>
      <c r="K26" s="19"/>
      <c r="M26" s="19"/>
      <c r="O26" s="19"/>
      <c r="Q26" s="19"/>
      <c r="S26" s="19"/>
      <c r="U26" s="19"/>
      <c r="W26" s="19"/>
      <c r="Y26" s="19"/>
      <c r="AA26" s="19"/>
      <c r="AC26" s="19"/>
      <c r="AE26" s="19"/>
      <c r="AG26" s="19"/>
      <c r="AI26" s="19"/>
      <c r="AK26" s="19"/>
      <c r="AM26" s="19"/>
      <c r="AO26" s="19"/>
      <c r="AQ26" s="19"/>
      <c r="AS26" s="19"/>
      <c r="AU26" s="19"/>
      <c r="AW26" s="19"/>
      <c r="AY26" s="19"/>
      <c r="BA26" s="19"/>
      <c r="BC26" s="19"/>
    </row>
    <row r="27" spans="1:106" x14ac:dyDescent="0.2">
      <c r="C27" s="20"/>
      <c r="E27" s="20"/>
      <c r="G27" s="20"/>
      <c r="I27" s="20"/>
      <c r="K27" s="20"/>
      <c r="M27" s="20"/>
      <c r="O27" s="20"/>
      <c r="Q27" s="20"/>
      <c r="S27" s="20"/>
      <c r="U27" s="20"/>
      <c r="W27" s="20"/>
      <c r="Y27" s="20"/>
      <c r="AA27" s="20"/>
      <c r="AC27" s="20"/>
      <c r="AE27" s="20"/>
      <c r="AG27" s="20"/>
      <c r="AI27" s="20"/>
      <c r="AK27" s="20"/>
      <c r="AM27" s="20"/>
      <c r="AO27" s="20"/>
      <c r="AQ27" s="20"/>
      <c r="AS27" s="20"/>
      <c r="AU27" s="20"/>
      <c r="AW27" s="20"/>
      <c r="AY27" s="20"/>
      <c r="BA27" s="20"/>
      <c r="BC27" s="20"/>
    </row>
  </sheetData>
  <customSheetViews>
    <customSheetView guid="{E44E71C3-F2DB-4787-90CC-B0F1BDA00262}" scale="75" showPageBreaks="1" printArea="1" view="pageBreakPreview">
      <pane xSplit="1" ySplit="9" topLeftCell="B10" activePane="bottomRight" state="frozen"/>
      <selection pane="bottomRight" activeCell="AI12" sqref="AI12:AO14"/>
      <colBreaks count="2" manualBreakCount="2">
        <brk id="25" max="14" man="1"/>
        <brk id="55" max="1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&amp;C&amp;"Arial,Bold"&amp;11Borough of Folsom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printArea="1" view="pageBreakPreview">
      <pane xSplit="1" ySplit="6" topLeftCell="T7" activePane="bottomRight" state="frozen"/>
      <selection pane="bottomRight" activeCell="AO6" sqref="AO6"/>
      <colBreaks count="2" manualBreakCount="2">
        <brk id="25" max="14" man="1"/>
        <brk id="55" max="1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&amp;C&amp;"Arial,Bold"&amp;11Borough of Folsom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printArea="1" view="pageBreakPreview">
      <pane xSplit="1" ySplit="6" topLeftCell="T7" activePane="bottomRight" state="frozen"/>
      <selection pane="bottomRight" activeCell="AO6" sqref="AO6"/>
      <colBreaks count="2" manualBreakCount="2">
        <brk id="25" max="14" man="1"/>
        <brk id="55" max="1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&amp;C&amp;"Arial,Bold"&amp;11Borough of Folsom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printArea="1" view="pageBreakPreview">
      <pane xSplit="1" ySplit="6" topLeftCell="T7" activePane="bottomRight" state="frozen"/>
      <selection pane="bottomRight" activeCell="AO6" sqref="AO6"/>
      <colBreaks count="2" manualBreakCount="2">
        <brk id="25" max="14" man="1"/>
        <brk id="55" max="1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&amp;C&amp;"Arial,Bold"&amp;11Borough of Folsom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printArea="1" view="pageBreakPreview">
      <pane xSplit="1" ySplit="6" topLeftCell="T7" activePane="bottomRight" state="frozen"/>
      <selection pane="bottomRight" activeCell="AO6" sqref="AO6"/>
      <colBreaks count="2" manualBreakCount="2">
        <brk id="25" max="14" man="1"/>
        <brk id="55" max="1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&amp;C&amp;"Arial,Bold"&amp;11Borough of Folsom
General Election - November 3, 2015
Prepared by the Office of Edward P. McGettigan, Atlantic County Clerk</oddHeader>
        <oddFooter>&amp;R&amp;11Page &amp;P</oddFooter>
      </headerFooter>
    </customSheetView>
  </customSheetViews>
  <mergeCells count="8">
    <mergeCell ref="AU5:AY5"/>
    <mergeCell ref="AU4:AY4"/>
    <mergeCell ref="BA5:BC5"/>
    <mergeCell ref="C5:Q5"/>
    <mergeCell ref="S5:AC5"/>
    <mergeCell ref="AE5:AG5"/>
    <mergeCell ref="AI5:AK5"/>
    <mergeCell ref="AM5:AS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&amp;C&amp;"Arial,Bold"&amp;11Borough of Folsom
General Election - November 6, 2018
Prepared by the Office of Edward P. McGettigan, Atlantic County Clerk</oddHeader>
    <oddFooter>&amp;R&amp;11Page &amp;P</oddFooter>
  </headerFooter>
  <colBreaks count="3" manualBreakCount="3">
    <brk id="29" max="19" man="1"/>
    <brk id="55" max="19" man="1"/>
    <brk id="69" max="15" man="1"/>
  </colBreaks>
  <drawing r:id="rId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F55"/>
  <sheetViews>
    <sheetView zoomScale="75" zoomScaleNormal="75" zoomScaleSheetLayoutView="75" workbookViewId="0">
      <pane xSplit="1" ySplit="10" topLeftCell="O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33" customWidth="1"/>
    <col min="5" max="5" width="12.140625" style="33" customWidth="1"/>
    <col min="6" max="6" width="1.7109375" style="33" customWidth="1"/>
    <col min="7" max="7" width="12.14062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2.14062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4.140625" style="33" customWidth="1"/>
    <col min="18" max="18" width="1.7109375" style="33" customWidth="1"/>
    <col min="19" max="19" width="13.42578125" style="33" customWidth="1"/>
    <col min="20" max="20" width="1.7109375" style="33" customWidth="1"/>
    <col min="21" max="21" width="12.1406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2.140625" style="33" customWidth="1"/>
    <col min="28" max="28" width="1.7109375" style="33" customWidth="1"/>
    <col min="29" max="29" width="12.140625" style="33" customWidth="1"/>
    <col min="30" max="30" width="1.7109375" style="33" customWidth="1"/>
    <col min="31" max="31" width="12.140625" style="33" customWidth="1"/>
    <col min="32" max="32" width="1.7109375" style="33" customWidth="1"/>
    <col min="33" max="33" width="13.42578125" style="33" customWidth="1"/>
    <col min="34" max="34" width="1.7109375" style="33" customWidth="1"/>
    <col min="35" max="35" width="12.140625" style="33" customWidth="1"/>
    <col min="36" max="36" width="1.7109375" style="33" customWidth="1"/>
    <col min="37" max="37" width="12.140625" style="33" customWidth="1"/>
    <col min="38" max="38" width="1.7109375" style="33" customWidth="1"/>
    <col min="39" max="39" width="12.140625" style="33" customWidth="1"/>
    <col min="40" max="40" width="1.7109375" style="33" customWidth="1"/>
    <col min="41" max="41" width="12.140625" style="33" customWidth="1"/>
    <col min="42" max="42" width="1.7109375" style="33" customWidth="1"/>
    <col min="43" max="43" width="9.7109375" style="33" customWidth="1"/>
    <col min="44" max="44" width="1.7109375" style="33" customWidth="1"/>
    <col min="45" max="45" width="9.7109375" style="33" customWidth="1"/>
    <col min="46" max="46" width="1.7109375" style="33" customWidth="1"/>
    <col min="47" max="47" width="11.85546875" style="19" customWidth="1"/>
    <col min="48" max="48" width="1.7109375" style="19" customWidth="1"/>
    <col min="49" max="49" width="11.85546875" style="19" customWidth="1"/>
    <col min="50" max="50" width="1.7109375" style="19" customWidth="1"/>
    <col min="51" max="51" width="11.85546875" style="19" customWidth="1"/>
    <col min="52" max="52" width="1.7109375" style="19" customWidth="1"/>
    <col min="53" max="53" width="11.85546875" style="19" customWidth="1"/>
    <col min="54" max="54" width="1.7109375" style="19" customWidth="1"/>
    <col min="55" max="55" width="11.85546875" style="57" customWidth="1"/>
    <col min="56" max="56" width="1.7109375" style="19" customWidth="1"/>
    <col min="57" max="57" width="11.85546875" style="19" customWidth="1"/>
    <col min="58" max="84" width="9.140625" style="19"/>
    <col min="85" max="16384" width="9.140625" style="11"/>
  </cols>
  <sheetData>
    <row r="1" spans="1:84" ht="15" x14ac:dyDescent="0.25">
      <c r="AI1" s="154" t="s">
        <v>122</v>
      </c>
    </row>
    <row r="2" spans="1:84" ht="15" x14ac:dyDescent="0.25">
      <c r="AI2" s="154" t="s">
        <v>266</v>
      </c>
    </row>
    <row r="3" spans="1:84" ht="15" x14ac:dyDescent="0.25">
      <c r="AI3" s="154" t="s">
        <v>267</v>
      </c>
    </row>
    <row r="4" spans="1:84" ht="15" x14ac:dyDescent="0.25">
      <c r="C4" s="154"/>
      <c r="D4" s="154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I4" s="410" t="s">
        <v>268</v>
      </c>
      <c r="AK4" s="473" t="s">
        <v>115</v>
      </c>
      <c r="AL4" s="473"/>
      <c r="AM4" s="473"/>
      <c r="AN4" s="473"/>
      <c r="AO4" s="473"/>
    </row>
    <row r="5" spans="1:84" ht="15.75" thickBot="1" x14ac:dyDescent="0.3"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142"/>
      <c r="AE5" s="470" t="s">
        <v>80</v>
      </c>
      <c r="AF5" s="470"/>
      <c r="AG5" s="470"/>
      <c r="AH5" s="50"/>
      <c r="AI5" s="410" t="s">
        <v>126</v>
      </c>
      <c r="AJ5" s="50"/>
      <c r="AK5" s="465" t="s">
        <v>116</v>
      </c>
      <c r="AL5" s="465"/>
      <c r="AM5" s="465"/>
      <c r="AN5" s="465"/>
      <c r="AO5" s="465"/>
      <c r="AP5" s="50"/>
      <c r="AQ5" s="457" t="s">
        <v>196</v>
      </c>
      <c r="AR5" s="457"/>
      <c r="AS5" s="457"/>
      <c r="AT5" s="153"/>
    </row>
    <row r="6" spans="1:84" ht="15" x14ac:dyDescent="0.2"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142"/>
      <c r="AE6" s="172"/>
      <c r="AF6" s="173"/>
      <c r="AG6" s="174"/>
      <c r="AH6" s="282"/>
      <c r="AI6" s="417"/>
      <c r="AJ6" s="282"/>
      <c r="AK6" s="103"/>
      <c r="AL6" s="104"/>
      <c r="AM6" s="104"/>
      <c r="AN6" s="104"/>
      <c r="AO6" s="102" t="s">
        <v>454</v>
      </c>
      <c r="AP6" s="282"/>
      <c r="AQ6" s="172"/>
      <c r="AR6" s="173"/>
      <c r="AS6" s="174"/>
      <c r="AT6" s="285"/>
      <c r="AU6" s="79"/>
      <c r="AV6" s="77"/>
      <c r="AW6" s="81"/>
      <c r="AX6" s="77"/>
      <c r="AY6" s="81"/>
      <c r="AZ6" s="77"/>
      <c r="BA6" s="81"/>
      <c r="BB6" s="77"/>
      <c r="BC6" s="82"/>
    </row>
    <row r="7" spans="1:84" ht="15" x14ac:dyDescent="0.25">
      <c r="A7" s="61" t="s">
        <v>91</v>
      </c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418" t="s">
        <v>316</v>
      </c>
      <c r="AJ7" s="282"/>
      <c r="AK7" s="106" t="s">
        <v>138</v>
      </c>
      <c r="AL7" s="282"/>
      <c r="AM7" s="95" t="s">
        <v>319</v>
      </c>
      <c r="AN7" s="95"/>
      <c r="AO7" s="107" t="s">
        <v>455</v>
      </c>
      <c r="AP7" s="282"/>
      <c r="AQ7" s="155"/>
      <c r="AR7" s="137"/>
      <c r="AS7" s="156"/>
      <c r="AT7" s="285"/>
      <c r="AU7" s="78" t="s">
        <v>24</v>
      </c>
      <c r="AV7" s="76"/>
      <c r="AW7" s="83" t="s">
        <v>24</v>
      </c>
      <c r="AX7" s="76"/>
      <c r="AY7" s="83" t="s">
        <v>24</v>
      </c>
      <c r="AZ7" s="76"/>
      <c r="BA7" s="83" t="s">
        <v>24</v>
      </c>
      <c r="BB7" s="76"/>
      <c r="BC7" s="84" t="s">
        <v>24</v>
      </c>
    </row>
    <row r="8" spans="1:84" ht="14.25" x14ac:dyDescent="0.2">
      <c r="A8" s="61" t="s">
        <v>92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418" t="s">
        <v>317</v>
      </c>
      <c r="AJ8" s="282"/>
      <c r="AK8" s="106" t="s">
        <v>318</v>
      </c>
      <c r="AL8" s="282"/>
      <c r="AM8" s="95" t="s">
        <v>320</v>
      </c>
      <c r="AN8" s="95"/>
      <c r="AO8" s="107" t="s">
        <v>456</v>
      </c>
      <c r="AP8" s="282"/>
      <c r="AQ8" s="315" t="s">
        <v>106</v>
      </c>
      <c r="AR8" s="143"/>
      <c r="AS8" s="316" t="s">
        <v>107</v>
      </c>
      <c r="AT8" s="285"/>
      <c r="AU8" s="78" t="s">
        <v>83</v>
      </c>
      <c r="AV8" s="76"/>
      <c r="AW8" s="83" t="s">
        <v>84</v>
      </c>
      <c r="AX8" s="76"/>
      <c r="AY8" s="83" t="s">
        <v>85</v>
      </c>
      <c r="AZ8" s="76"/>
      <c r="BA8" s="83" t="s">
        <v>86</v>
      </c>
      <c r="BB8" s="76"/>
      <c r="BC8" s="84" t="s">
        <v>87</v>
      </c>
    </row>
    <row r="9" spans="1:84" ht="14.25" x14ac:dyDescent="0.2"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418"/>
      <c r="AJ9" s="282"/>
      <c r="AK9" s="106"/>
      <c r="AL9" s="282"/>
      <c r="AM9" s="95"/>
      <c r="AN9" s="95"/>
      <c r="AO9" s="107"/>
      <c r="AP9" s="282"/>
      <c r="AQ9" s="296"/>
      <c r="AR9" s="295"/>
      <c r="AS9" s="297"/>
      <c r="AT9" s="285"/>
      <c r="AU9" s="78" t="s">
        <v>89</v>
      </c>
      <c r="AV9" s="76"/>
      <c r="AW9" s="83" t="s">
        <v>90</v>
      </c>
      <c r="AX9" s="76"/>
      <c r="AY9" s="83" t="s">
        <v>89</v>
      </c>
      <c r="AZ9" s="76"/>
      <c r="BA9" s="83" t="s">
        <v>89</v>
      </c>
      <c r="BB9" s="76"/>
      <c r="BC9" s="84" t="s">
        <v>89</v>
      </c>
    </row>
    <row r="10" spans="1:84" ht="15" thickBot="1" x14ac:dyDescent="0.25"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82"/>
      <c r="AI10" s="419"/>
      <c r="AJ10" s="282"/>
      <c r="AK10" s="120"/>
      <c r="AL10" s="281"/>
      <c r="AM10" s="281"/>
      <c r="AN10" s="281"/>
      <c r="AO10" s="121"/>
      <c r="AP10" s="282"/>
      <c r="AQ10" s="337"/>
      <c r="AR10" s="330"/>
      <c r="AS10" s="346"/>
      <c r="AT10" s="285"/>
      <c r="AU10" s="80"/>
      <c r="AV10" s="85"/>
      <c r="AW10" s="85"/>
      <c r="AX10" s="85"/>
      <c r="AY10" s="85"/>
      <c r="AZ10" s="85"/>
      <c r="BA10" s="85"/>
      <c r="BB10" s="85"/>
      <c r="BC10" s="86"/>
    </row>
    <row r="11" spans="1:84" x14ac:dyDescent="0.2">
      <c r="A11" s="9" t="s">
        <v>53</v>
      </c>
      <c r="C11" s="18">
        <f>228+235</f>
        <v>463</v>
      </c>
      <c r="D11" s="19"/>
      <c r="E11" s="18">
        <f>161+159</f>
        <v>320</v>
      </c>
      <c r="F11" s="19"/>
      <c r="G11" s="18">
        <f>8+3</f>
        <v>11</v>
      </c>
      <c r="H11" s="19"/>
      <c r="I11" s="18">
        <v>3</v>
      </c>
      <c r="J11" s="19"/>
      <c r="K11" s="18">
        <f>2+4</f>
        <v>6</v>
      </c>
      <c r="L11" s="19"/>
      <c r="M11" s="18">
        <f>3+3</f>
        <v>6</v>
      </c>
      <c r="N11" s="19"/>
      <c r="O11" s="18">
        <v>0</v>
      </c>
      <c r="P11" s="19"/>
      <c r="Q11" s="18">
        <v>0</v>
      </c>
      <c r="R11" s="19"/>
      <c r="S11" s="18">
        <f>200+210</f>
        <v>410</v>
      </c>
      <c r="T11" s="19"/>
      <c r="U11" s="18">
        <f>193+185</f>
        <v>378</v>
      </c>
      <c r="V11" s="19"/>
      <c r="W11" s="18">
        <f>3+4</f>
        <v>7</v>
      </c>
      <c r="X11" s="19"/>
      <c r="Y11" s="18">
        <v>0</v>
      </c>
      <c r="Z11" s="19"/>
      <c r="AA11" s="18">
        <f>2+5</f>
        <v>7</v>
      </c>
      <c r="AB11" s="19"/>
      <c r="AC11" s="18">
        <v>0</v>
      </c>
      <c r="AD11" s="19"/>
      <c r="AE11" s="18">
        <f>234+250</f>
        <v>484</v>
      </c>
      <c r="AF11" s="19"/>
      <c r="AG11" s="18">
        <f>162+149</f>
        <v>311</v>
      </c>
      <c r="AH11" s="19"/>
      <c r="AI11" s="18">
        <f>264+275</f>
        <v>539</v>
      </c>
      <c r="AJ11" s="19"/>
      <c r="AK11" s="18">
        <f>247+251</f>
        <v>498</v>
      </c>
      <c r="AL11" s="19"/>
      <c r="AM11" s="18">
        <f>232+237</f>
        <v>469</v>
      </c>
      <c r="AN11" s="420"/>
      <c r="AO11" s="18">
        <v>9</v>
      </c>
      <c r="AP11" s="19"/>
      <c r="AQ11" s="18">
        <f>130+143</f>
        <v>273</v>
      </c>
      <c r="AR11" s="19"/>
      <c r="AS11" s="18">
        <f>230+223</f>
        <v>453</v>
      </c>
      <c r="AT11" s="19"/>
      <c r="AU11" s="18">
        <f>410+408</f>
        <v>818</v>
      </c>
      <c r="AW11" s="55">
        <v>1406</v>
      </c>
      <c r="AY11" s="18">
        <v>318</v>
      </c>
      <c r="BA11" s="18"/>
      <c r="BC11" s="55">
        <f t="shared" ref="BC11:BC27" si="0">+SUM(AU11:BA11)</f>
        <v>2542</v>
      </c>
      <c r="CE11" s="11"/>
      <c r="CF11" s="11"/>
    </row>
    <row r="12" spans="1:84" x14ac:dyDescent="0.2">
      <c r="A12" s="9" t="s">
        <v>54</v>
      </c>
      <c r="C12" s="16">
        <f>281+278</f>
        <v>559</v>
      </c>
      <c r="D12" s="19"/>
      <c r="E12" s="16">
        <f>122+106</f>
        <v>228</v>
      </c>
      <c r="F12" s="19"/>
      <c r="G12" s="16">
        <f>2+4</f>
        <v>6</v>
      </c>
      <c r="H12" s="19"/>
      <c r="I12" s="16">
        <f>3+2</f>
        <v>5</v>
      </c>
      <c r="J12" s="19"/>
      <c r="K12" s="16">
        <f>1+2</f>
        <v>3</v>
      </c>
      <c r="L12" s="19"/>
      <c r="M12" s="16">
        <v>2</v>
      </c>
      <c r="N12" s="19"/>
      <c r="O12" s="16">
        <f>1+1</f>
        <v>2</v>
      </c>
      <c r="P12" s="19"/>
      <c r="Q12" s="16">
        <f>1+1</f>
        <v>2</v>
      </c>
      <c r="R12" s="19"/>
      <c r="S12" s="16">
        <f>254+244</f>
        <v>498</v>
      </c>
      <c r="T12" s="19"/>
      <c r="U12" s="16">
        <f>146+146</f>
        <v>292</v>
      </c>
      <c r="V12" s="19"/>
      <c r="W12" s="16">
        <v>2</v>
      </c>
      <c r="X12" s="19"/>
      <c r="Y12" s="16">
        <v>0</v>
      </c>
      <c r="Z12" s="19"/>
      <c r="AA12" s="16">
        <f>5+2</f>
        <v>7</v>
      </c>
      <c r="AB12" s="19"/>
      <c r="AC12" s="16">
        <v>1</v>
      </c>
      <c r="AD12" s="19"/>
      <c r="AE12" s="16">
        <f>300+279</f>
        <v>579</v>
      </c>
      <c r="AF12" s="19"/>
      <c r="AG12" s="16">
        <f>105+109</f>
        <v>214</v>
      </c>
      <c r="AH12" s="19"/>
      <c r="AI12" s="16">
        <f>280+281</f>
        <v>561</v>
      </c>
      <c r="AJ12" s="19"/>
      <c r="AK12" s="16">
        <f>270+267</f>
        <v>537</v>
      </c>
      <c r="AL12" s="19"/>
      <c r="AM12" s="16">
        <f>258+238</f>
        <v>496</v>
      </c>
      <c r="AN12" s="68"/>
      <c r="AO12" s="16">
        <v>6</v>
      </c>
      <c r="AP12" s="19"/>
      <c r="AQ12" s="16">
        <f>106+96</f>
        <v>202</v>
      </c>
      <c r="AR12" s="19"/>
      <c r="AS12" s="16">
        <f>290+284</f>
        <v>574</v>
      </c>
      <c r="AT12" s="19"/>
      <c r="AU12" s="16">
        <f>414+402</f>
        <v>816</v>
      </c>
      <c r="AW12" s="16"/>
      <c r="AY12" s="16"/>
      <c r="BA12" s="16"/>
      <c r="BC12" s="55">
        <f t="shared" si="0"/>
        <v>816</v>
      </c>
      <c r="CE12" s="11"/>
      <c r="CF12" s="11"/>
    </row>
    <row r="13" spans="1:84" x14ac:dyDescent="0.2">
      <c r="A13" s="9" t="s">
        <v>55</v>
      </c>
      <c r="C13" s="16">
        <f>225+258</f>
        <v>483</v>
      </c>
      <c r="D13" s="19"/>
      <c r="E13" s="16">
        <f>174+177</f>
        <v>351</v>
      </c>
      <c r="F13" s="19"/>
      <c r="G13" s="16">
        <f>5+5</f>
        <v>10</v>
      </c>
      <c r="H13" s="19"/>
      <c r="I13" s="16">
        <v>1</v>
      </c>
      <c r="J13" s="19"/>
      <c r="K13" s="16">
        <f>3+2</f>
        <v>5</v>
      </c>
      <c r="L13" s="19"/>
      <c r="M13" s="16">
        <f>2+4</f>
        <v>6</v>
      </c>
      <c r="N13" s="19"/>
      <c r="O13" s="16">
        <v>0</v>
      </c>
      <c r="P13" s="19"/>
      <c r="Q13" s="16">
        <v>1</v>
      </c>
      <c r="R13" s="19"/>
      <c r="S13" s="16">
        <f>187+216</f>
        <v>403</v>
      </c>
      <c r="T13" s="19"/>
      <c r="U13" s="16">
        <f>211+220</f>
        <v>431</v>
      </c>
      <c r="V13" s="19"/>
      <c r="W13" s="16">
        <f>3+2</f>
        <v>5</v>
      </c>
      <c r="X13" s="19"/>
      <c r="Y13" s="16">
        <v>1</v>
      </c>
      <c r="Z13" s="19"/>
      <c r="AA13" s="16">
        <f>5+4</f>
        <v>9</v>
      </c>
      <c r="AB13" s="19"/>
      <c r="AC13" s="16">
        <v>2</v>
      </c>
      <c r="AD13" s="19"/>
      <c r="AE13" s="16">
        <f>234+257</f>
        <v>491</v>
      </c>
      <c r="AF13" s="19"/>
      <c r="AG13" s="16">
        <f>163+182</f>
        <v>345</v>
      </c>
      <c r="AH13" s="19"/>
      <c r="AI13" s="16">
        <f>266+287</f>
        <v>553</v>
      </c>
      <c r="AJ13" s="19"/>
      <c r="AK13" s="16">
        <f>235+264</f>
        <v>499</v>
      </c>
      <c r="AL13" s="19"/>
      <c r="AM13" s="16">
        <f>240+266</f>
        <v>506</v>
      </c>
      <c r="AN13" s="68"/>
      <c r="AO13" s="16">
        <v>15</v>
      </c>
      <c r="AP13" s="19"/>
      <c r="AQ13" s="16">
        <f>165+170</f>
        <v>335</v>
      </c>
      <c r="AR13" s="19"/>
      <c r="AS13" s="16">
        <f>223+242</f>
        <v>465</v>
      </c>
      <c r="AT13" s="19"/>
      <c r="AU13" s="60">
        <f>416+449</f>
        <v>865</v>
      </c>
      <c r="AW13" s="60"/>
      <c r="AY13" s="16"/>
      <c r="BA13" s="16"/>
      <c r="BC13" s="55">
        <f t="shared" si="0"/>
        <v>865</v>
      </c>
      <c r="CE13" s="11"/>
      <c r="CF13" s="11"/>
    </row>
    <row r="14" spans="1:84" x14ac:dyDescent="0.2">
      <c r="A14" s="9" t="s">
        <v>56</v>
      </c>
      <c r="C14" s="16">
        <f>160+149</f>
        <v>309</v>
      </c>
      <c r="D14" s="19"/>
      <c r="E14" s="16">
        <f>117+85</f>
        <v>202</v>
      </c>
      <c r="F14" s="19"/>
      <c r="G14" s="16">
        <f>10+7</f>
        <v>17</v>
      </c>
      <c r="H14" s="19"/>
      <c r="I14" s="16">
        <v>3</v>
      </c>
      <c r="J14" s="19"/>
      <c r="K14" s="16">
        <f>1+4</f>
        <v>5</v>
      </c>
      <c r="L14" s="19"/>
      <c r="M14" s="16">
        <f>8+4</f>
        <v>12</v>
      </c>
      <c r="N14" s="19"/>
      <c r="O14" s="16">
        <v>2</v>
      </c>
      <c r="P14" s="19"/>
      <c r="Q14" s="16">
        <v>1</v>
      </c>
      <c r="R14" s="19"/>
      <c r="S14" s="16">
        <f>144+133</f>
        <v>277</v>
      </c>
      <c r="T14" s="19"/>
      <c r="U14" s="16">
        <f>150+115</f>
        <v>265</v>
      </c>
      <c r="V14" s="19"/>
      <c r="W14" s="16">
        <f>2+2</f>
        <v>4</v>
      </c>
      <c r="X14" s="19"/>
      <c r="Y14" s="16">
        <v>1</v>
      </c>
      <c r="Z14" s="19"/>
      <c r="AA14" s="16">
        <v>1</v>
      </c>
      <c r="AB14" s="19"/>
      <c r="AC14" s="16">
        <f>1+2</f>
        <v>3</v>
      </c>
      <c r="AD14" s="19"/>
      <c r="AE14" s="16">
        <f>162+154</f>
        <v>316</v>
      </c>
      <c r="AF14" s="19"/>
      <c r="AG14" s="16">
        <f>129+90</f>
        <v>219</v>
      </c>
      <c r="AH14" s="19"/>
      <c r="AI14" s="16">
        <f>187+170</f>
        <v>357</v>
      </c>
      <c r="AJ14" s="19"/>
      <c r="AK14" s="16">
        <f>156+146</f>
        <v>302</v>
      </c>
      <c r="AL14" s="19"/>
      <c r="AM14" s="16">
        <f>160+147</f>
        <v>307</v>
      </c>
      <c r="AN14" s="68"/>
      <c r="AO14" s="16">
        <v>9</v>
      </c>
      <c r="AP14" s="19"/>
      <c r="AQ14" s="16">
        <f>98+77</f>
        <v>175</v>
      </c>
      <c r="AR14" s="19"/>
      <c r="AS14" s="16">
        <f>174+160</f>
        <v>334</v>
      </c>
      <c r="AT14" s="19"/>
      <c r="AU14" s="16">
        <f>303+256</f>
        <v>559</v>
      </c>
      <c r="AW14" s="16"/>
      <c r="AY14" s="16"/>
      <c r="BA14" s="16"/>
      <c r="BC14" s="55">
        <f t="shared" si="0"/>
        <v>559</v>
      </c>
      <c r="CE14" s="11"/>
      <c r="CF14" s="11"/>
    </row>
    <row r="15" spans="1:84" x14ac:dyDescent="0.2">
      <c r="A15" s="9" t="s">
        <v>57</v>
      </c>
      <c r="C15" s="16">
        <f>113+103</f>
        <v>216</v>
      </c>
      <c r="D15" s="19"/>
      <c r="E15" s="16">
        <f>163+189</f>
        <v>352</v>
      </c>
      <c r="F15" s="19"/>
      <c r="G15" s="16">
        <f>3+15</f>
        <v>18</v>
      </c>
      <c r="H15" s="19"/>
      <c r="I15" s="16">
        <f>1+4</f>
        <v>5</v>
      </c>
      <c r="J15" s="19"/>
      <c r="K15" s="16">
        <f>3+1</f>
        <v>4</v>
      </c>
      <c r="L15" s="19"/>
      <c r="M15" s="16">
        <f>2+3</f>
        <v>5</v>
      </c>
      <c r="N15" s="19"/>
      <c r="O15" s="16">
        <v>0</v>
      </c>
      <c r="P15" s="19"/>
      <c r="Q15" s="16">
        <v>0</v>
      </c>
      <c r="R15" s="19"/>
      <c r="S15" s="16">
        <f>101+87</f>
        <v>188</v>
      </c>
      <c r="T15" s="19"/>
      <c r="U15" s="16">
        <f>178+216</f>
        <v>394</v>
      </c>
      <c r="V15" s="19"/>
      <c r="W15" s="16">
        <f>1+2</f>
        <v>3</v>
      </c>
      <c r="X15" s="19"/>
      <c r="Y15" s="16">
        <v>3</v>
      </c>
      <c r="Z15" s="19"/>
      <c r="AA15" s="16">
        <f>4+2</f>
        <v>6</v>
      </c>
      <c r="AB15" s="19"/>
      <c r="AC15" s="16">
        <v>1</v>
      </c>
      <c r="AD15" s="19"/>
      <c r="AE15" s="16">
        <f>119+110</f>
        <v>229</v>
      </c>
      <c r="AF15" s="19"/>
      <c r="AG15" s="16">
        <f>159+197</f>
        <v>356</v>
      </c>
      <c r="AH15" s="19"/>
      <c r="AI15" s="16">
        <f>171+195</f>
        <v>366</v>
      </c>
      <c r="AJ15" s="19"/>
      <c r="AK15" s="16">
        <f>154+166</f>
        <v>320</v>
      </c>
      <c r="AL15" s="19"/>
      <c r="AM15" s="16">
        <f>152+160</f>
        <v>312</v>
      </c>
      <c r="AN15" s="68"/>
      <c r="AO15" s="16">
        <v>12</v>
      </c>
      <c r="AP15" s="19"/>
      <c r="AQ15" s="16">
        <f>101+125</f>
        <v>226</v>
      </c>
      <c r="AR15" s="19"/>
      <c r="AS15" s="16">
        <f>114+101</f>
        <v>215</v>
      </c>
      <c r="AT15" s="19"/>
      <c r="AU15" s="16">
        <f>291+318</f>
        <v>609</v>
      </c>
      <c r="AW15" s="16"/>
      <c r="AY15" s="16"/>
      <c r="BA15" s="16"/>
      <c r="BC15" s="55">
        <f t="shared" si="0"/>
        <v>609</v>
      </c>
      <c r="CE15" s="11"/>
      <c r="CF15" s="11"/>
    </row>
    <row r="16" spans="1:84" s="10" customFormat="1" x14ac:dyDescent="0.2">
      <c r="A16" s="9" t="s">
        <v>58</v>
      </c>
      <c r="C16" s="60">
        <f>164+165</f>
        <v>329</v>
      </c>
      <c r="D16" s="35"/>
      <c r="E16" s="60">
        <f>126+146</f>
        <v>272</v>
      </c>
      <c r="F16" s="19"/>
      <c r="G16" s="60">
        <f>4+6</f>
        <v>10</v>
      </c>
      <c r="H16" s="19"/>
      <c r="I16" s="60">
        <f>1+3</f>
        <v>4</v>
      </c>
      <c r="J16" s="19"/>
      <c r="K16" s="60">
        <f>2+2</f>
        <v>4</v>
      </c>
      <c r="L16" s="19"/>
      <c r="M16" s="60">
        <f>5+3</f>
        <v>8</v>
      </c>
      <c r="N16" s="19"/>
      <c r="O16" s="60">
        <v>0</v>
      </c>
      <c r="P16" s="19"/>
      <c r="Q16" s="60">
        <v>1</v>
      </c>
      <c r="R16" s="19"/>
      <c r="S16" s="60">
        <f>150+137</f>
        <v>287</v>
      </c>
      <c r="T16" s="19"/>
      <c r="U16" s="60">
        <f>146+183</f>
        <v>329</v>
      </c>
      <c r="V16" s="19"/>
      <c r="W16" s="60">
        <f>3+3</f>
        <v>6</v>
      </c>
      <c r="X16" s="19"/>
      <c r="Y16" s="60">
        <v>2</v>
      </c>
      <c r="Z16" s="19"/>
      <c r="AA16" s="60">
        <f>1+2</f>
        <v>3</v>
      </c>
      <c r="AB16" s="19"/>
      <c r="AC16" s="60">
        <f>2+1</f>
        <v>3</v>
      </c>
      <c r="AD16" s="19"/>
      <c r="AE16" s="60">
        <f>167+167</f>
        <v>334</v>
      </c>
      <c r="AF16" s="19"/>
      <c r="AG16" s="60">
        <f>131+154</f>
        <v>285</v>
      </c>
      <c r="AH16" s="19"/>
      <c r="AI16" s="60">
        <f>207+210</f>
        <v>417</v>
      </c>
      <c r="AJ16" s="19"/>
      <c r="AK16" s="60">
        <f>182+174</f>
        <v>356</v>
      </c>
      <c r="AL16" s="19"/>
      <c r="AM16" s="60">
        <f>175+177</f>
        <v>352</v>
      </c>
      <c r="AN16" s="236"/>
      <c r="AO16" s="60">
        <v>0</v>
      </c>
      <c r="AP16" s="19"/>
      <c r="AQ16" s="60">
        <f>116+119</f>
        <v>235</v>
      </c>
      <c r="AR16" s="19"/>
      <c r="AS16" s="60">
        <f>172+184</f>
        <v>356</v>
      </c>
      <c r="AT16" s="19"/>
      <c r="AU16" s="16">
        <f>307+333</f>
        <v>640</v>
      </c>
      <c r="AV16" s="20"/>
      <c r="AW16" s="16"/>
      <c r="AX16" s="20"/>
      <c r="AY16" s="16"/>
      <c r="AZ16" s="20"/>
      <c r="BA16" s="16"/>
      <c r="BB16" s="20"/>
      <c r="BC16" s="55">
        <f t="shared" si="0"/>
        <v>640</v>
      </c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</row>
    <row r="17" spans="1:84" x14ac:dyDescent="0.2">
      <c r="A17" s="9" t="s">
        <v>60</v>
      </c>
      <c r="C17" s="16">
        <f>115+112</f>
        <v>227</v>
      </c>
      <c r="D17" s="19"/>
      <c r="E17" s="16">
        <f>55+55</f>
        <v>110</v>
      </c>
      <c r="F17" s="19"/>
      <c r="G17" s="16">
        <f>2+4</f>
        <v>6</v>
      </c>
      <c r="H17" s="19"/>
      <c r="I17" s="16">
        <v>1</v>
      </c>
      <c r="J17" s="19"/>
      <c r="K17" s="16">
        <v>0</v>
      </c>
      <c r="L17" s="19"/>
      <c r="M17" s="16">
        <v>0</v>
      </c>
      <c r="N17" s="19"/>
      <c r="O17" s="16">
        <f>2+1</f>
        <v>3</v>
      </c>
      <c r="P17" s="19"/>
      <c r="Q17" s="16">
        <v>0</v>
      </c>
      <c r="R17" s="19"/>
      <c r="S17" s="16">
        <f>108+101</f>
        <v>209</v>
      </c>
      <c r="T17" s="19"/>
      <c r="U17" s="16">
        <f>66+72</f>
        <v>138</v>
      </c>
      <c r="V17" s="19"/>
      <c r="W17" s="16">
        <v>0</v>
      </c>
      <c r="X17" s="19"/>
      <c r="Y17" s="16">
        <v>1</v>
      </c>
      <c r="Z17" s="19"/>
      <c r="AA17" s="16">
        <v>1</v>
      </c>
      <c r="AB17" s="19"/>
      <c r="AC17" s="16">
        <v>1</v>
      </c>
      <c r="AD17" s="19"/>
      <c r="AE17" s="16">
        <f>118+115</f>
        <v>233</v>
      </c>
      <c r="AF17" s="19"/>
      <c r="AG17" s="16">
        <f>52+59</f>
        <v>111</v>
      </c>
      <c r="AH17" s="19"/>
      <c r="AI17" s="16">
        <f>114+107</f>
        <v>221</v>
      </c>
      <c r="AJ17" s="19"/>
      <c r="AK17" s="16">
        <f>113+102</f>
        <v>215</v>
      </c>
      <c r="AL17" s="35"/>
      <c r="AM17" s="16">
        <f>110+90</f>
        <v>200</v>
      </c>
      <c r="AN17" s="68"/>
      <c r="AO17" s="16">
        <v>3</v>
      </c>
      <c r="AP17" s="19"/>
      <c r="AQ17" s="16">
        <f>50+47</f>
        <v>97</v>
      </c>
      <c r="AR17" s="19"/>
      <c r="AS17" s="16">
        <f>107+114</f>
        <v>221</v>
      </c>
      <c r="AT17" s="19"/>
      <c r="AU17" s="16">
        <f>178+177</f>
        <v>355</v>
      </c>
      <c r="AW17" s="16"/>
      <c r="AY17" s="16"/>
      <c r="BA17" s="16"/>
      <c r="BC17" s="55">
        <f t="shared" si="0"/>
        <v>355</v>
      </c>
      <c r="CE17" s="11"/>
      <c r="CF17" s="11"/>
    </row>
    <row r="18" spans="1:84" x14ac:dyDescent="0.2">
      <c r="A18" s="9" t="s">
        <v>61</v>
      </c>
      <c r="C18" s="16">
        <f>191+204</f>
        <v>395</v>
      </c>
      <c r="D18" s="19"/>
      <c r="E18" s="16">
        <f>186+176</f>
        <v>362</v>
      </c>
      <c r="F18" s="19"/>
      <c r="G18" s="16">
        <f>8+5</f>
        <v>13</v>
      </c>
      <c r="H18" s="19"/>
      <c r="I18" s="16">
        <f>2+3</f>
        <v>5</v>
      </c>
      <c r="J18" s="19"/>
      <c r="K18" s="16">
        <f>4+2</f>
        <v>6</v>
      </c>
      <c r="L18" s="19"/>
      <c r="M18" s="16">
        <f>5+5</f>
        <v>10</v>
      </c>
      <c r="N18" s="19"/>
      <c r="O18" s="16">
        <f>1+3</f>
        <v>4</v>
      </c>
      <c r="P18" s="19"/>
      <c r="Q18" s="16">
        <v>1</v>
      </c>
      <c r="R18" s="19"/>
      <c r="S18" s="16">
        <f>180+164</f>
        <v>344</v>
      </c>
      <c r="T18" s="19"/>
      <c r="U18" s="16">
        <f>211+228</f>
        <v>439</v>
      </c>
      <c r="V18" s="19"/>
      <c r="W18" s="16">
        <f>3+3</f>
        <v>6</v>
      </c>
      <c r="X18" s="19"/>
      <c r="Y18" s="16">
        <v>0</v>
      </c>
      <c r="Z18" s="19"/>
      <c r="AA18" s="16">
        <f>2+5</f>
        <v>7</v>
      </c>
      <c r="AB18" s="19"/>
      <c r="AC18" s="16">
        <v>1</v>
      </c>
      <c r="AD18" s="19"/>
      <c r="AE18" s="16">
        <f>200+205</f>
        <v>405</v>
      </c>
      <c r="AF18" s="19"/>
      <c r="AG18" s="16">
        <f>194+183</f>
        <v>377</v>
      </c>
      <c r="AH18" s="19"/>
      <c r="AI18" s="16">
        <f>260+271</f>
        <v>531</v>
      </c>
      <c r="AJ18" s="19"/>
      <c r="AK18" s="16">
        <f>232+228</f>
        <v>460</v>
      </c>
      <c r="AL18" s="19"/>
      <c r="AM18" s="16">
        <f>228+244</f>
        <v>472</v>
      </c>
      <c r="AN18" s="68"/>
      <c r="AO18" s="16">
        <v>4</v>
      </c>
      <c r="AP18" s="19"/>
      <c r="AQ18" s="16">
        <f>179+162</f>
        <v>341</v>
      </c>
      <c r="AR18" s="19"/>
      <c r="AS18" s="16">
        <f>186+208</f>
        <v>394</v>
      </c>
      <c r="AT18" s="19"/>
      <c r="AU18" s="16">
        <f>405+405</f>
        <v>810</v>
      </c>
      <c r="AW18" s="16"/>
      <c r="AY18" s="16"/>
      <c r="BA18" s="16"/>
      <c r="BC18" s="55">
        <f t="shared" si="0"/>
        <v>810</v>
      </c>
      <c r="CE18" s="11"/>
      <c r="CF18" s="11"/>
    </row>
    <row r="19" spans="1:84" x14ac:dyDescent="0.2">
      <c r="A19" s="9" t="s">
        <v>62</v>
      </c>
      <c r="C19" s="16">
        <f>225+188</f>
        <v>413</v>
      </c>
      <c r="D19" s="19"/>
      <c r="E19" s="16">
        <f>150+138</f>
        <v>288</v>
      </c>
      <c r="F19" s="19"/>
      <c r="G19" s="16">
        <f>5+4</f>
        <v>9</v>
      </c>
      <c r="H19" s="19"/>
      <c r="I19" s="16">
        <v>1</v>
      </c>
      <c r="J19" s="19"/>
      <c r="K19" s="16">
        <v>2</v>
      </c>
      <c r="L19" s="19"/>
      <c r="M19" s="16">
        <f>2+1</f>
        <v>3</v>
      </c>
      <c r="N19" s="19"/>
      <c r="O19" s="16">
        <v>2</v>
      </c>
      <c r="P19" s="19"/>
      <c r="Q19" s="16">
        <v>1</v>
      </c>
      <c r="R19" s="19"/>
      <c r="S19" s="16">
        <f>202+175</f>
        <v>377</v>
      </c>
      <c r="T19" s="19"/>
      <c r="U19" s="16">
        <f>171+157</f>
        <v>328</v>
      </c>
      <c r="V19" s="19"/>
      <c r="W19" s="16">
        <f>3+1</f>
        <v>4</v>
      </c>
      <c r="X19" s="19"/>
      <c r="Y19" s="16">
        <v>0</v>
      </c>
      <c r="Z19" s="19"/>
      <c r="AA19" s="16">
        <v>1</v>
      </c>
      <c r="AB19" s="19"/>
      <c r="AC19" s="16">
        <v>1</v>
      </c>
      <c r="AD19" s="19"/>
      <c r="AE19" s="16">
        <f>223+190</f>
        <v>413</v>
      </c>
      <c r="AF19" s="19"/>
      <c r="AG19" s="16">
        <f>143+142</f>
        <v>285</v>
      </c>
      <c r="AH19" s="19"/>
      <c r="AI19" s="16">
        <f>217+196</f>
        <v>413</v>
      </c>
      <c r="AJ19" s="19"/>
      <c r="AK19" s="16">
        <f>190+176</f>
        <v>366</v>
      </c>
      <c r="AL19" s="19"/>
      <c r="AM19" s="16">
        <f>189+178</f>
        <v>367</v>
      </c>
      <c r="AN19" s="68"/>
      <c r="AO19" s="16">
        <v>1</v>
      </c>
      <c r="AP19" s="19"/>
      <c r="AQ19" s="16">
        <f>156+121</f>
        <v>277</v>
      </c>
      <c r="AR19" s="19"/>
      <c r="AS19" s="16">
        <f>185+163</f>
        <v>348</v>
      </c>
      <c r="AT19" s="19"/>
      <c r="AU19" s="16">
        <f>391+342</f>
        <v>733</v>
      </c>
      <c r="AW19" s="16"/>
      <c r="AY19" s="16"/>
      <c r="BA19" s="16"/>
      <c r="BC19" s="55">
        <f t="shared" si="0"/>
        <v>733</v>
      </c>
      <c r="CE19" s="11"/>
      <c r="CF19" s="11"/>
    </row>
    <row r="20" spans="1:84" s="10" customFormat="1" x14ac:dyDescent="0.2">
      <c r="A20" s="9" t="s">
        <v>63</v>
      </c>
      <c r="C20" s="16">
        <f>64+75</f>
        <v>139</v>
      </c>
      <c r="D20" s="19"/>
      <c r="E20" s="16">
        <f>132+186</f>
        <v>318</v>
      </c>
      <c r="F20" s="19"/>
      <c r="G20" s="60">
        <f>7+10</f>
        <v>17</v>
      </c>
      <c r="H20" s="19"/>
      <c r="I20" s="16">
        <f>1+2</f>
        <v>3</v>
      </c>
      <c r="J20" s="19"/>
      <c r="K20" s="16">
        <v>4</v>
      </c>
      <c r="L20" s="19"/>
      <c r="M20" s="16">
        <v>1</v>
      </c>
      <c r="N20" s="19"/>
      <c r="O20" s="16">
        <v>0</v>
      </c>
      <c r="P20" s="19"/>
      <c r="Q20" s="16">
        <v>0</v>
      </c>
      <c r="R20" s="19"/>
      <c r="S20" s="16">
        <f>55+60</f>
        <v>115</v>
      </c>
      <c r="T20" s="19"/>
      <c r="U20" s="16">
        <f>140+199</f>
        <v>339</v>
      </c>
      <c r="V20" s="19"/>
      <c r="W20" s="16">
        <f>1+3</f>
        <v>4</v>
      </c>
      <c r="X20" s="19"/>
      <c r="Y20" s="16">
        <f>1+5</f>
        <v>6</v>
      </c>
      <c r="Z20" s="19"/>
      <c r="AA20" s="16">
        <f>2+4</f>
        <v>6</v>
      </c>
      <c r="AB20" s="19"/>
      <c r="AC20" s="16">
        <v>2</v>
      </c>
      <c r="AD20" s="19"/>
      <c r="AE20" s="16">
        <f>61+70</f>
        <v>131</v>
      </c>
      <c r="AF20" s="19"/>
      <c r="AG20" s="16">
        <f>137+195</f>
        <v>332</v>
      </c>
      <c r="AH20" s="19"/>
      <c r="AI20" s="16">
        <f>122+169</f>
        <v>291</v>
      </c>
      <c r="AJ20" s="19"/>
      <c r="AK20" s="16">
        <f>93+131</f>
        <v>224</v>
      </c>
      <c r="AL20" s="19"/>
      <c r="AM20" s="16">
        <f>105+156</f>
        <v>261</v>
      </c>
      <c r="AN20" s="68"/>
      <c r="AO20" s="16">
        <v>3</v>
      </c>
      <c r="AP20" s="19"/>
      <c r="AQ20" s="16">
        <f>102+104</f>
        <v>206</v>
      </c>
      <c r="AR20" s="19"/>
      <c r="AS20" s="16">
        <f>50+71</f>
        <v>121</v>
      </c>
      <c r="AT20" s="19"/>
      <c r="AU20" s="16">
        <f>209+284</f>
        <v>493</v>
      </c>
      <c r="AV20" s="20"/>
      <c r="AW20" s="16"/>
      <c r="AX20" s="20"/>
      <c r="AY20" s="16"/>
      <c r="AZ20" s="20"/>
      <c r="BA20" s="16"/>
      <c r="BB20" s="20"/>
      <c r="BC20" s="55">
        <f t="shared" si="0"/>
        <v>493</v>
      </c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</row>
    <row r="21" spans="1:84" x14ac:dyDescent="0.2">
      <c r="A21" s="9" t="s">
        <v>64</v>
      </c>
      <c r="C21" s="16">
        <f>88+77</f>
        <v>165</v>
      </c>
      <c r="D21" s="19"/>
      <c r="E21" s="16">
        <f>180+174</f>
        <v>354</v>
      </c>
      <c r="F21" s="19"/>
      <c r="G21" s="16">
        <f>8+8</f>
        <v>16</v>
      </c>
      <c r="H21" s="19"/>
      <c r="I21" s="16">
        <f>1+4</f>
        <v>5</v>
      </c>
      <c r="J21" s="19"/>
      <c r="K21" s="16">
        <v>0</v>
      </c>
      <c r="L21" s="19"/>
      <c r="M21" s="16">
        <f>3+5</f>
        <v>8</v>
      </c>
      <c r="N21" s="19"/>
      <c r="O21" s="16">
        <v>3</v>
      </c>
      <c r="P21" s="19"/>
      <c r="Q21" s="16">
        <v>1</v>
      </c>
      <c r="R21" s="19"/>
      <c r="S21" s="16">
        <f>68+61</f>
        <v>129</v>
      </c>
      <c r="T21" s="19"/>
      <c r="U21" s="16">
        <f>210+192</f>
        <v>402</v>
      </c>
      <c r="V21" s="19"/>
      <c r="W21" s="16">
        <f>2+2</f>
        <v>4</v>
      </c>
      <c r="X21" s="19"/>
      <c r="Y21" s="16">
        <f>2+5</f>
        <v>7</v>
      </c>
      <c r="Z21" s="19"/>
      <c r="AA21" s="16">
        <v>2</v>
      </c>
      <c r="AB21" s="19"/>
      <c r="AC21" s="16">
        <f>1+2</f>
        <v>3</v>
      </c>
      <c r="AD21" s="19"/>
      <c r="AE21" s="16">
        <f>87+71</f>
        <v>158</v>
      </c>
      <c r="AF21" s="19"/>
      <c r="AG21" s="16">
        <f>190+186</f>
        <v>376</v>
      </c>
      <c r="AH21" s="19"/>
      <c r="AI21" s="16">
        <f>174+162</f>
        <v>336</v>
      </c>
      <c r="AJ21" s="19"/>
      <c r="AK21" s="16">
        <f>144+122</f>
        <v>266</v>
      </c>
      <c r="AL21" s="19"/>
      <c r="AM21" s="16">
        <f>152+146</f>
        <v>298</v>
      </c>
      <c r="AN21" s="68"/>
      <c r="AO21" s="16">
        <v>2</v>
      </c>
      <c r="AP21" s="19"/>
      <c r="AQ21" s="16">
        <f>139+123</f>
        <v>262</v>
      </c>
      <c r="AR21" s="19"/>
      <c r="AS21" s="16">
        <f>78+67</f>
        <v>145</v>
      </c>
      <c r="AT21" s="19"/>
      <c r="AU21" s="16">
        <f>291+272</f>
        <v>563</v>
      </c>
      <c r="AW21" s="16"/>
      <c r="AY21" s="16"/>
      <c r="BA21" s="16"/>
      <c r="BC21" s="55">
        <f t="shared" si="0"/>
        <v>563</v>
      </c>
      <c r="CE21" s="11"/>
      <c r="CF21" s="11"/>
    </row>
    <row r="22" spans="1:84" x14ac:dyDescent="0.2">
      <c r="A22" s="9" t="s">
        <v>65</v>
      </c>
      <c r="C22" s="16">
        <f>184+150</f>
        <v>334</v>
      </c>
      <c r="D22" s="19"/>
      <c r="E22" s="16">
        <f>178+177</f>
        <v>355</v>
      </c>
      <c r="F22" s="19"/>
      <c r="G22" s="16">
        <f>3+9</f>
        <v>12</v>
      </c>
      <c r="H22" s="19"/>
      <c r="I22" s="16">
        <f>3+5</f>
        <v>8</v>
      </c>
      <c r="J22" s="19"/>
      <c r="K22" s="16">
        <f>2+4</f>
        <v>6</v>
      </c>
      <c r="L22" s="19"/>
      <c r="M22" s="16">
        <v>3</v>
      </c>
      <c r="N22" s="19"/>
      <c r="O22" s="16">
        <v>1</v>
      </c>
      <c r="P22" s="19"/>
      <c r="Q22" s="16">
        <v>0</v>
      </c>
      <c r="R22" s="19"/>
      <c r="S22" s="16">
        <f>151+126</f>
        <v>277</v>
      </c>
      <c r="T22" s="19"/>
      <c r="U22" s="16">
        <f>202+203</f>
        <v>405</v>
      </c>
      <c r="V22" s="19"/>
      <c r="W22" s="16">
        <f>4+2</f>
        <v>6</v>
      </c>
      <c r="X22" s="19"/>
      <c r="Y22" s="16">
        <f>2+6</f>
        <v>8</v>
      </c>
      <c r="Z22" s="19"/>
      <c r="AA22" s="16">
        <f>2+4</f>
        <v>6</v>
      </c>
      <c r="AB22" s="19"/>
      <c r="AC22" s="16">
        <f>3+1</f>
        <v>4</v>
      </c>
      <c r="AD22" s="19"/>
      <c r="AE22" s="16">
        <f>174+150</f>
        <v>324</v>
      </c>
      <c r="AF22" s="35"/>
      <c r="AG22" s="16">
        <f>179+180</f>
        <v>359</v>
      </c>
      <c r="AH22" s="19"/>
      <c r="AI22" s="16">
        <f>230+218</f>
        <v>448</v>
      </c>
      <c r="AJ22" s="19"/>
      <c r="AK22" s="16">
        <f>194+182</f>
        <v>376</v>
      </c>
      <c r="AL22" s="19"/>
      <c r="AM22" s="16">
        <f>201+192</f>
        <v>393</v>
      </c>
      <c r="AN22" s="68"/>
      <c r="AO22" s="16">
        <v>7</v>
      </c>
      <c r="AP22" s="19"/>
      <c r="AQ22" s="16">
        <f>162+144</f>
        <v>306</v>
      </c>
      <c r="AR22" s="19"/>
      <c r="AS22" s="16">
        <f>151+157</f>
        <v>308</v>
      </c>
      <c r="AT22" s="19"/>
      <c r="AU22" s="16">
        <f>376+351</f>
        <v>727</v>
      </c>
      <c r="AW22" s="16"/>
      <c r="AY22" s="16"/>
      <c r="BA22" s="16"/>
      <c r="BC22" s="55">
        <f t="shared" si="0"/>
        <v>727</v>
      </c>
      <c r="CE22" s="11"/>
      <c r="CF22" s="11"/>
    </row>
    <row r="23" spans="1:84" x14ac:dyDescent="0.2">
      <c r="A23" s="9" t="s">
        <v>66</v>
      </c>
      <c r="C23" s="16">
        <f>137+159</f>
        <v>296</v>
      </c>
      <c r="D23" s="19"/>
      <c r="E23" s="16">
        <f>130+118</f>
        <v>248</v>
      </c>
      <c r="F23" s="19"/>
      <c r="G23" s="16">
        <f>5+1</f>
        <v>6</v>
      </c>
      <c r="H23" s="19"/>
      <c r="I23" s="16">
        <v>1</v>
      </c>
      <c r="J23" s="19"/>
      <c r="K23" s="16">
        <f>1+1</f>
        <v>2</v>
      </c>
      <c r="L23" s="19"/>
      <c r="M23" s="16">
        <v>3</v>
      </c>
      <c r="N23" s="19"/>
      <c r="O23" s="16">
        <f>2+1</f>
        <v>3</v>
      </c>
      <c r="P23" s="19"/>
      <c r="Q23" s="16">
        <v>0</v>
      </c>
      <c r="R23" s="19"/>
      <c r="S23" s="16">
        <f>116+130</f>
        <v>246</v>
      </c>
      <c r="T23" s="19"/>
      <c r="U23" s="16">
        <f>160+147</f>
        <v>307</v>
      </c>
      <c r="V23" s="19"/>
      <c r="W23" s="16">
        <v>2</v>
      </c>
      <c r="X23" s="19"/>
      <c r="Y23" s="16">
        <f>2+1</f>
        <v>3</v>
      </c>
      <c r="Z23" s="19"/>
      <c r="AA23" s="16">
        <f>2+3</f>
        <v>5</v>
      </c>
      <c r="AB23" s="19"/>
      <c r="AC23" s="16">
        <v>1</v>
      </c>
      <c r="AD23" s="19"/>
      <c r="AE23" s="16">
        <f>138+145</f>
        <v>283</v>
      </c>
      <c r="AF23" s="19"/>
      <c r="AG23" s="16">
        <f>138+126</f>
        <v>264</v>
      </c>
      <c r="AH23" s="19"/>
      <c r="AI23" s="16">
        <f>192+170</f>
        <v>362</v>
      </c>
      <c r="AJ23" s="19"/>
      <c r="AK23" s="16">
        <f>152+135</f>
        <v>287</v>
      </c>
      <c r="AL23" s="19"/>
      <c r="AM23" s="16">
        <f>165+143</f>
        <v>308</v>
      </c>
      <c r="AN23" s="68"/>
      <c r="AO23" s="16">
        <v>0</v>
      </c>
      <c r="AP23" s="19"/>
      <c r="AQ23" s="16">
        <f>105+96</f>
        <v>201</v>
      </c>
      <c r="AR23" s="19"/>
      <c r="AS23" s="16">
        <f>155+149</f>
        <v>304</v>
      </c>
      <c r="AT23" s="19"/>
      <c r="AU23" s="16">
        <f>286+287</f>
        <v>573</v>
      </c>
      <c r="AW23" s="16"/>
      <c r="AY23" s="16"/>
      <c r="BA23" s="16"/>
      <c r="BC23" s="55">
        <f t="shared" si="0"/>
        <v>573</v>
      </c>
      <c r="CE23" s="11"/>
      <c r="CF23" s="11"/>
    </row>
    <row r="24" spans="1:84" x14ac:dyDescent="0.2">
      <c r="A24" s="9" t="s">
        <v>67</v>
      </c>
      <c r="C24" s="16">
        <f>215+223</f>
        <v>438</v>
      </c>
      <c r="D24" s="19"/>
      <c r="E24" s="16">
        <f>166+163</f>
        <v>329</v>
      </c>
      <c r="F24" s="19"/>
      <c r="G24" s="16">
        <f>7+6</f>
        <v>13</v>
      </c>
      <c r="H24" s="19"/>
      <c r="I24" s="16">
        <f>2+1</f>
        <v>3</v>
      </c>
      <c r="J24" s="19"/>
      <c r="K24" s="16">
        <f>3+1</f>
        <v>4</v>
      </c>
      <c r="L24" s="19"/>
      <c r="M24" s="16">
        <v>3</v>
      </c>
      <c r="N24" s="19"/>
      <c r="O24" s="16">
        <v>0</v>
      </c>
      <c r="P24" s="19"/>
      <c r="Q24" s="16">
        <v>0</v>
      </c>
      <c r="R24" s="19"/>
      <c r="S24" s="16">
        <f>189+200</f>
        <v>389</v>
      </c>
      <c r="T24" s="19"/>
      <c r="U24" s="16">
        <f>199+187</f>
        <v>386</v>
      </c>
      <c r="V24" s="19"/>
      <c r="W24" s="16">
        <v>4</v>
      </c>
      <c r="X24" s="19"/>
      <c r="Y24" s="16">
        <f>1+2</f>
        <v>3</v>
      </c>
      <c r="Z24" s="19"/>
      <c r="AA24" s="16">
        <f>4+2</f>
        <v>6</v>
      </c>
      <c r="AB24" s="19"/>
      <c r="AC24" s="16">
        <f>1+1</f>
        <v>2</v>
      </c>
      <c r="AD24" s="19"/>
      <c r="AE24" s="16">
        <f>220+235</f>
        <v>455</v>
      </c>
      <c r="AF24" s="19"/>
      <c r="AG24" s="16">
        <f>165+157</f>
        <v>322</v>
      </c>
      <c r="AH24" s="19"/>
      <c r="AI24" s="16">
        <f>237+253</f>
        <v>490</v>
      </c>
      <c r="AJ24" s="19"/>
      <c r="AK24" s="16">
        <f>211+215</f>
        <v>426</v>
      </c>
      <c r="AL24" s="19"/>
      <c r="AM24" s="16">
        <f>226+219</f>
        <v>445</v>
      </c>
      <c r="AN24" s="68"/>
      <c r="AO24" s="16">
        <v>4</v>
      </c>
      <c r="AP24" s="19"/>
      <c r="AQ24" s="16">
        <f>162+140</f>
        <v>302</v>
      </c>
      <c r="AR24" s="19"/>
      <c r="AS24" s="16">
        <f>210+223</f>
        <v>433</v>
      </c>
      <c r="AT24" s="19"/>
      <c r="AU24" s="16">
        <f>403+402</f>
        <v>805</v>
      </c>
      <c r="AW24" s="16"/>
      <c r="AY24" s="16"/>
      <c r="BA24" s="16"/>
      <c r="BC24" s="55">
        <f t="shared" si="0"/>
        <v>805</v>
      </c>
      <c r="CE24" s="11"/>
      <c r="CF24" s="11"/>
    </row>
    <row r="25" spans="1:84" x14ac:dyDescent="0.2">
      <c r="A25" s="61" t="s">
        <v>68</v>
      </c>
      <c r="C25" s="16">
        <f>182+210</f>
        <v>392</v>
      </c>
      <c r="D25" s="19"/>
      <c r="E25" s="16">
        <f>172+184</f>
        <v>356</v>
      </c>
      <c r="F25" s="19"/>
      <c r="G25" s="16">
        <f>6+6</f>
        <v>12</v>
      </c>
      <c r="H25" s="19"/>
      <c r="I25" s="16">
        <v>4</v>
      </c>
      <c r="J25" s="19"/>
      <c r="K25" s="16">
        <f>2+5</f>
        <v>7</v>
      </c>
      <c r="L25" s="19"/>
      <c r="M25" s="16">
        <f>1+2</f>
        <v>3</v>
      </c>
      <c r="N25" s="19"/>
      <c r="O25" s="16">
        <v>0</v>
      </c>
      <c r="P25" s="19"/>
      <c r="Q25" s="16">
        <f>1+2</f>
        <v>3</v>
      </c>
      <c r="R25" s="19"/>
      <c r="S25" s="16">
        <f>150+174</f>
        <v>324</v>
      </c>
      <c r="T25" s="19"/>
      <c r="U25" s="16">
        <f>210+225</f>
        <v>435</v>
      </c>
      <c r="V25" s="19"/>
      <c r="W25" s="16">
        <f>2+3</f>
        <v>5</v>
      </c>
      <c r="X25" s="19"/>
      <c r="Y25" s="16">
        <f>1+1</f>
        <v>2</v>
      </c>
      <c r="Z25" s="19"/>
      <c r="AA25" s="16">
        <f>1+6</f>
        <v>7</v>
      </c>
      <c r="AB25" s="19"/>
      <c r="AC25" s="16">
        <v>2</v>
      </c>
      <c r="AD25" s="19"/>
      <c r="AE25" s="16">
        <f>178+214</f>
        <v>392</v>
      </c>
      <c r="AF25" s="19"/>
      <c r="AG25" s="16">
        <f>179+191</f>
        <v>370</v>
      </c>
      <c r="AH25" s="19"/>
      <c r="AI25" s="16">
        <f>229+270</f>
        <v>499</v>
      </c>
      <c r="AJ25" s="19"/>
      <c r="AK25" s="16">
        <f>213+229</f>
        <v>442</v>
      </c>
      <c r="AL25" s="19"/>
      <c r="AM25" s="16">
        <f>208+244</f>
        <v>452</v>
      </c>
      <c r="AN25" s="68"/>
      <c r="AO25" s="16">
        <v>17</v>
      </c>
      <c r="AP25" s="19"/>
      <c r="AQ25" s="16">
        <f>135+148</f>
        <v>283</v>
      </c>
      <c r="AR25" s="19"/>
      <c r="AS25" s="16">
        <f>193+216</f>
        <v>409</v>
      </c>
      <c r="AT25" s="19"/>
      <c r="AU25" s="16">
        <f>374+415</f>
        <v>789</v>
      </c>
      <c r="AW25" s="16"/>
      <c r="AY25" s="16"/>
      <c r="BA25" s="16"/>
      <c r="BC25" s="55">
        <f t="shared" si="0"/>
        <v>789</v>
      </c>
      <c r="CE25" s="11"/>
      <c r="CF25" s="11"/>
    </row>
    <row r="26" spans="1:84" x14ac:dyDescent="0.2">
      <c r="A26" s="61" t="s">
        <v>69</v>
      </c>
      <c r="C26" s="16">
        <f>133+132</f>
        <v>265</v>
      </c>
      <c r="D26" s="19"/>
      <c r="E26" s="16">
        <f>204+207</f>
        <v>411</v>
      </c>
      <c r="F26" s="19"/>
      <c r="G26" s="16">
        <f>6+8</f>
        <v>14</v>
      </c>
      <c r="H26" s="19"/>
      <c r="I26" s="16">
        <f>2+1</f>
        <v>3</v>
      </c>
      <c r="J26" s="19"/>
      <c r="K26" s="16">
        <v>2</v>
      </c>
      <c r="L26" s="19"/>
      <c r="M26" s="16">
        <v>4</v>
      </c>
      <c r="N26" s="19"/>
      <c r="O26" s="16">
        <f>2+1</f>
        <v>3</v>
      </c>
      <c r="P26" s="19"/>
      <c r="Q26" s="16">
        <f>3+1</f>
        <v>4</v>
      </c>
      <c r="R26" s="19"/>
      <c r="S26" s="16">
        <f>117+121</f>
        <v>238</v>
      </c>
      <c r="T26" s="19"/>
      <c r="U26" s="16">
        <f>228+220</f>
        <v>448</v>
      </c>
      <c r="V26" s="19"/>
      <c r="W26" s="16">
        <f>1+1</f>
        <v>2</v>
      </c>
      <c r="X26" s="19"/>
      <c r="Y26" s="16">
        <f>3+1</f>
        <v>4</v>
      </c>
      <c r="Z26" s="19"/>
      <c r="AA26" s="16">
        <f>2+1</f>
        <v>3</v>
      </c>
      <c r="AB26" s="19"/>
      <c r="AC26" s="16">
        <f>3+1</f>
        <v>4</v>
      </c>
      <c r="AD26" s="19"/>
      <c r="AE26" s="16">
        <f>138+137</f>
        <v>275</v>
      </c>
      <c r="AF26" s="19"/>
      <c r="AG26" s="16">
        <f>207+203</f>
        <v>410</v>
      </c>
      <c r="AH26" s="19"/>
      <c r="AI26" s="16">
        <f>232+229</f>
        <v>461</v>
      </c>
      <c r="AJ26" s="19"/>
      <c r="AK26" s="16">
        <f>188+191</f>
        <v>379</v>
      </c>
      <c r="AL26" s="19"/>
      <c r="AM26" s="16">
        <f>206+207</f>
        <v>413</v>
      </c>
      <c r="AN26" s="68"/>
      <c r="AO26" s="16">
        <v>8</v>
      </c>
      <c r="AP26" s="19"/>
      <c r="AQ26" s="16">
        <f>165+152</f>
        <v>317</v>
      </c>
      <c r="AR26" s="19"/>
      <c r="AS26" s="16">
        <f>151+161</f>
        <v>312</v>
      </c>
      <c r="AT26" s="19"/>
      <c r="AU26" s="16">
        <f>358+361</f>
        <v>719</v>
      </c>
      <c r="AW26" s="16"/>
      <c r="AY26" s="16"/>
      <c r="BA26" s="16"/>
      <c r="BC26" s="55">
        <f t="shared" si="0"/>
        <v>719</v>
      </c>
      <c r="CE26" s="11"/>
      <c r="CF26" s="11"/>
    </row>
    <row r="27" spans="1:84" x14ac:dyDescent="0.2">
      <c r="A27" s="61" t="s">
        <v>72</v>
      </c>
      <c r="C27" s="16">
        <f>200+213</f>
        <v>413</v>
      </c>
      <c r="D27" s="19"/>
      <c r="E27" s="16">
        <f>279+224</f>
        <v>503</v>
      </c>
      <c r="F27" s="19"/>
      <c r="G27" s="16">
        <f>9+8</f>
        <v>17</v>
      </c>
      <c r="H27" s="19"/>
      <c r="I27" s="16">
        <f>3+2</f>
        <v>5</v>
      </c>
      <c r="J27" s="19"/>
      <c r="K27" s="16">
        <v>2</v>
      </c>
      <c r="L27" s="19"/>
      <c r="M27" s="16">
        <f>3+3</f>
        <v>6</v>
      </c>
      <c r="N27" s="19"/>
      <c r="O27" s="16">
        <v>2</v>
      </c>
      <c r="P27" s="19"/>
      <c r="Q27" s="16">
        <v>0</v>
      </c>
      <c r="R27" s="19"/>
      <c r="S27" s="16">
        <f>178+182</f>
        <v>360</v>
      </c>
      <c r="T27" s="19"/>
      <c r="U27" s="16">
        <f>312+258</f>
        <v>570</v>
      </c>
      <c r="V27" s="19"/>
      <c r="W27" s="16">
        <f>2+3</f>
        <v>5</v>
      </c>
      <c r="X27" s="19"/>
      <c r="Y27" s="16">
        <f>5+1</f>
        <v>6</v>
      </c>
      <c r="Z27" s="19"/>
      <c r="AA27" s="16">
        <v>1</v>
      </c>
      <c r="AB27" s="19"/>
      <c r="AC27" s="16">
        <f>3+1</f>
        <v>4</v>
      </c>
      <c r="AD27" s="35"/>
      <c r="AE27" s="16">
        <f>201+209</f>
        <v>410</v>
      </c>
      <c r="AF27" s="19"/>
      <c r="AG27" s="16">
        <f>292+231</f>
        <v>523</v>
      </c>
      <c r="AH27" s="19"/>
      <c r="AI27" s="16">
        <f>296+247</f>
        <v>543</v>
      </c>
      <c r="AJ27" s="19"/>
      <c r="AK27" s="16">
        <f>238+208</f>
        <v>446</v>
      </c>
      <c r="AL27" s="19"/>
      <c r="AM27" s="16">
        <f>259+231</f>
        <v>490</v>
      </c>
      <c r="AN27" s="68"/>
      <c r="AO27" s="16">
        <v>5</v>
      </c>
      <c r="AP27" s="19"/>
      <c r="AQ27" s="16">
        <f>206+184</f>
        <v>390</v>
      </c>
      <c r="AR27" s="19"/>
      <c r="AS27" s="16">
        <f>225+206</f>
        <v>431</v>
      </c>
      <c r="AT27" s="19"/>
      <c r="AU27" s="16">
        <f>505+458</f>
        <v>963</v>
      </c>
      <c r="AW27" s="16"/>
      <c r="AY27" s="16"/>
      <c r="BA27" s="16"/>
      <c r="BC27" s="55">
        <f t="shared" si="0"/>
        <v>963</v>
      </c>
      <c r="CE27" s="11"/>
      <c r="CF27" s="11"/>
    </row>
    <row r="28" spans="1:84" ht="13.5" thickBot="1" x14ac:dyDescent="0.25"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CE28" s="11"/>
      <c r="CF28" s="11"/>
    </row>
    <row r="29" spans="1:84" s="48" customFormat="1" ht="13.5" thickBot="1" x14ac:dyDescent="0.25">
      <c r="A29" s="3" t="s">
        <v>24</v>
      </c>
      <c r="C29" s="41">
        <f>+SUM(C11:C27)</f>
        <v>5836</v>
      </c>
      <c r="D29" s="57"/>
      <c r="E29" s="41">
        <f>+SUM(E11:E27)</f>
        <v>5359</v>
      </c>
      <c r="F29" s="57"/>
      <c r="G29" s="41">
        <f>+SUM(G11:G27)</f>
        <v>207</v>
      </c>
      <c r="H29" s="57"/>
      <c r="I29" s="41">
        <f>+SUM(I11:I27)</f>
        <v>60</v>
      </c>
      <c r="J29" s="57"/>
      <c r="K29" s="41">
        <f>+SUM(K11:K27)</f>
        <v>62</v>
      </c>
      <c r="L29" s="57"/>
      <c r="M29" s="41">
        <f>+SUM(M11:M27)</f>
        <v>83</v>
      </c>
      <c r="N29" s="57"/>
      <c r="O29" s="41">
        <f>+SUM(O11:O27)</f>
        <v>25</v>
      </c>
      <c r="P29" s="57"/>
      <c r="Q29" s="41">
        <f>+SUM(Q11:Q27)</f>
        <v>15</v>
      </c>
      <c r="R29" s="57"/>
      <c r="S29" s="41">
        <f>+SUM(S11:S27)</f>
        <v>5071</v>
      </c>
      <c r="T29" s="57"/>
      <c r="U29" s="41">
        <f>+SUM(U11:U27)</f>
        <v>6286</v>
      </c>
      <c r="V29" s="57"/>
      <c r="W29" s="41">
        <f>+SUM(W11:W27)</f>
        <v>69</v>
      </c>
      <c r="X29" s="57"/>
      <c r="Y29" s="41">
        <f>+SUM(Y11:Y27)</f>
        <v>47</v>
      </c>
      <c r="Z29" s="57"/>
      <c r="AA29" s="41">
        <f>+SUM(AA11:AA27)</f>
        <v>78</v>
      </c>
      <c r="AB29" s="57"/>
      <c r="AC29" s="41">
        <f>+SUM(AC11:AC27)</f>
        <v>35</v>
      </c>
      <c r="AD29" s="57"/>
      <c r="AE29" s="41">
        <f>+SUM(AE11:AE27)</f>
        <v>5912</v>
      </c>
      <c r="AF29" s="57"/>
      <c r="AG29" s="41">
        <f>+SUM(AG11:AG27)</f>
        <v>5459</v>
      </c>
      <c r="AH29" s="57"/>
      <c r="AI29" s="41">
        <f>+SUM(AI11:AI27)</f>
        <v>7388</v>
      </c>
      <c r="AJ29" s="57"/>
      <c r="AK29" s="41">
        <f>+SUM(AK11:AK27)</f>
        <v>6399</v>
      </c>
      <c r="AL29" s="57"/>
      <c r="AM29" s="41">
        <f>+SUM(AM11:AM27)</f>
        <v>6541</v>
      </c>
      <c r="AN29" s="42"/>
      <c r="AO29" s="41">
        <f>+SUM(AO11:AO27)</f>
        <v>105</v>
      </c>
      <c r="AP29" s="57"/>
      <c r="AQ29" s="41">
        <f>+SUM(AQ11:AQ27)</f>
        <v>4428</v>
      </c>
      <c r="AR29" s="57"/>
      <c r="AS29" s="41">
        <f>+SUM(AS11:AS27)</f>
        <v>5823</v>
      </c>
      <c r="AT29" s="57"/>
      <c r="AU29" s="41">
        <f>+SUM(AU11:AU27)</f>
        <v>11837</v>
      </c>
      <c r="AV29" s="42"/>
      <c r="AW29" s="41">
        <f>+SUM(AW11:AW27)</f>
        <v>1406</v>
      </c>
      <c r="AX29" s="42"/>
      <c r="AY29" s="41">
        <f>+SUM(AY11:AY27)</f>
        <v>318</v>
      </c>
      <c r="AZ29" s="42"/>
      <c r="BA29" s="41">
        <f>+SUM(BA11:BA27)</f>
        <v>0</v>
      </c>
      <c r="BB29" s="42"/>
      <c r="BC29" s="41">
        <f>+SUM(BC11:BC27)</f>
        <v>13561</v>
      </c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</row>
    <row r="30" spans="1:84" x14ac:dyDescent="0.2">
      <c r="A30" s="36" t="s">
        <v>73</v>
      </c>
      <c r="C30" s="19">
        <v>677</v>
      </c>
      <c r="D30" s="19"/>
      <c r="E30" s="19">
        <v>645</v>
      </c>
      <c r="F30" s="19"/>
      <c r="G30" s="19">
        <v>15</v>
      </c>
      <c r="H30" s="19"/>
      <c r="I30" s="19">
        <v>2</v>
      </c>
      <c r="J30" s="19"/>
      <c r="K30" s="19">
        <v>9</v>
      </c>
      <c r="L30" s="19"/>
      <c r="M30" s="19">
        <v>10</v>
      </c>
      <c r="N30" s="19"/>
      <c r="O30" s="19">
        <v>5</v>
      </c>
      <c r="P30" s="19"/>
      <c r="Q30" s="19">
        <v>1</v>
      </c>
      <c r="R30" s="19"/>
      <c r="S30" s="19">
        <v>551</v>
      </c>
      <c r="T30" s="19"/>
      <c r="U30" s="19">
        <v>782</v>
      </c>
      <c r="V30" s="19"/>
      <c r="W30" s="19">
        <v>14</v>
      </c>
      <c r="X30" s="19"/>
      <c r="Y30" s="19">
        <v>1</v>
      </c>
      <c r="Z30" s="19"/>
      <c r="AA30" s="19">
        <v>8</v>
      </c>
      <c r="AB30" s="19"/>
      <c r="AC30" s="19">
        <v>7</v>
      </c>
      <c r="AD30" s="19"/>
      <c r="AE30" s="19">
        <v>666</v>
      </c>
      <c r="AF30" s="19"/>
      <c r="AG30" s="19">
        <v>674</v>
      </c>
      <c r="AH30" s="19"/>
      <c r="AI30" s="19">
        <v>884</v>
      </c>
      <c r="AJ30" s="19"/>
      <c r="AK30" s="19">
        <v>844</v>
      </c>
      <c r="AL30" s="19"/>
      <c r="AM30" s="19">
        <v>860</v>
      </c>
      <c r="AN30" s="19"/>
      <c r="AO30" s="19">
        <v>4</v>
      </c>
      <c r="AP30" s="19"/>
      <c r="AQ30" s="19">
        <v>769</v>
      </c>
      <c r="AR30" s="19"/>
      <c r="AS30" s="19">
        <v>529</v>
      </c>
      <c r="AT30" s="19"/>
      <c r="CE30" s="11"/>
      <c r="CF30" s="11"/>
    </row>
    <row r="31" spans="1:84" x14ac:dyDescent="0.2">
      <c r="A31" s="4" t="s">
        <v>25</v>
      </c>
      <c r="C31" s="19">
        <v>117</v>
      </c>
      <c r="D31" s="19"/>
      <c r="E31" s="19">
        <v>155</v>
      </c>
      <c r="F31" s="19"/>
      <c r="G31" s="19">
        <v>7</v>
      </c>
      <c r="H31" s="19"/>
      <c r="I31" s="19">
        <v>1</v>
      </c>
      <c r="J31" s="19"/>
      <c r="K31" s="19">
        <v>0</v>
      </c>
      <c r="L31" s="19"/>
      <c r="M31" s="19">
        <v>6</v>
      </c>
      <c r="N31" s="19"/>
      <c r="O31" s="19">
        <v>0</v>
      </c>
      <c r="P31" s="19"/>
      <c r="Q31" s="19">
        <v>0</v>
      </c>
      <c r="R31" s="19"/>
      <c r="S31" s="19">
        <v>97</v>
      </c>
      <c r="T31" s="19"/>
      <c r="U31" s="19">
        <v>197</v>
      </c>
      <c r="V31" s="19"/>
      <c r="W31" s="19">
        <v>1</v>
      </c>
      <c r="X31" s="19"/>
      <c r="Y31" s="19">
        <v>1</v>
      </c>
      <c r="Z31" s="19"/>
      <c r="AA31" s="19">
        <v>3</v>
      </c>
      <c r="AB31" s="19"/>
      <c r="AC31" s="19">
        <v>3</v>
      </c>
      <c r="AD31" s="19"/>
      <c r="AE31" s="19">
        <v>119</v>
      </c>
      <c r="AF31" s="19"/>
      <c r="AG31" s="19">
        <v>177</v>
      </c>
      <c r="AH31" s="19"/>
      <c r="AI31" s="19">
        <v>158</v>
      </c>
      <c r="AJ31" s="19"/>
      <c r="AK31" s="19">
        <v>127</v>
      </c>
      <c r="AL31" s="19"/>
      <c r="AM31" s="19">
        <v>140</v>
      </c>
      <c r="AN31" s="19"/>
      <c r="AO31" s="19">
        <v>0</v>
      </c>
      <c r="AP31" s="19"/>
      <c r="AQ31" s="19">
        <v>152</v>
      </c>
      <c r="AR31" s="19"/>
      <c r="AS31" s="19">
        <v>112</v>
      </c>
      <c r="AT31" s="19"/>
      <c r="CE31" s="11"/>
      <c r="CF31" s="11"/>
    </row>
    <row r="32" spans="1:84" ht="13.5" thickBot="1" x14ac:dyDescent="0.25">
      <c r="A32" s="4" t="s">
        <v>79</v>
      </c>
      <c r="C32" s="19">
        <v>5</v>
      </c>
      <c r="D32" s="19"/>
      <c r="E32" s="19">
        <v>12</v>
      </c>
      <c r="F32" s="19"/>
      <c r="G32" s="19">
        <v>1</v>
      </c>
      <c r="H32" s="19"/>
      <c r="I32" s="19">
        <v>0</v>
      </c>
      <c r="J32" s="19"/>
      <c r="K32" s="19">
        <v>0</v>
      </c>
      <c r="L32" s="19"/>
      <c r="M32" s="19">
        <v>0</v>
      </c>
      <c r="N32" s="19"/>
      <c r="O32" s="19">
        <v>0</v>
      </c>
      <c r="P32" s="19"/>
      <c r="Q32" s="19">
        <v>0</v>
      </c>
      <c r="R32" s="19"/>
      <c r="S32" s="19">
        <v>4</v>
      </c>
      <c r="T32" s="19"/>
      <c r="U32" s="19">
        <v>15</v>
      </c>
      <c r="V32" s="19"/>
      <c r="W32" s="19">
        <v>0</v>
      </c>
      <c r="X32" s="19"/>
      <c r="Y32" s="19">
        <v>0</v>
      </c>
      <c r="Z32" s="19"/>
      <c r="AA32" s="19">
        <v>0</v>
      </c>
      <c r="AB32" s="19"/>
      <c r="AC32" s="19">
        <v>0</v>
      </c>
      <c r="AD32" s="19"/>
      <c r="AE32" s="19">
        <v>6</v>
      </c>
      <c r="AF32" s="19"/>
      <c r="AG32" s="19">
        <v>12</v>
      </c>
      <c r="AH32" s="19"/>
      <c r="AI32" s="19">
        <v>1</v>
      </c>
      <c r="AJ32" s="19"/>
      <c r="AK32" s="19">
        <v>1</v>
      </c>
      <c r="AL32" s="19"/>
      <c r="AM32" s="19">
        <v>1</v>
      </c>
      <c r="AN32" s="19"/>
      <c r="AO32" s="19">
        <v>0</v>
      </c>
      <c r="AP32" s="19"/>
      <c r="AQ32" s="19">
        <v>15</v>
      </c>
      <c r="AR32" s="19"/>
      <c r="AS32" s="19">
        <v>3</v>
      </c>
      <c r="AT32" s="19"/>
      <c r="CE32" s="11"/>
      <c r="CF32" s="11"/>
    </row>
    <row r="33" spans="1:82" s="48" customFormat="1" ht="13.5" thickBot="1" x14ac:dyDescent="0.25">
      <c r="A33" s="3" t="s">
        <v>26</v>
      </c>
      <c r="C33" s="41">
        <f>+SUM(C29:C32)</f>
        <v>6635</v>
      </c>
      <c r="D33" s="57"/>
      <c r="E33" s="41">
        <f>+SUM(E29:E32)</f>
        <v>6171</v>
      </c>
      <c r="F33" s="57"/>
      <c r="G33" s="41">
        <f>+SUM(G29:G32)</f>
        <v>230</v>
      </c>
      <c r="H33" s="57"/>
      <c r="I33" s="41">
        <f>+SUM(I29:I32)</f>
        <v>63</v>
      </c>
      <c r="J33" s="57"/>
      <c r="K33" s="41">
        <f>+SUM(K29:K32)</f>
        <v>71</v>
      </c>
      <c r="L33" s="57"/>
      <c r="M33" s="41">
        <f>+SUM(M29:M32)</f>
        <v>99</v>
      </c>
      <c r="N33" s="57"/>
      <c r="O33" s="41">
        <f>+SUM(O29:O32)</f>
        <v>30</v>
      </c>
      <c r="P33" s="57"/>
      <c r="Q33" s="41">
        <f>+SUM(Q29:Q32)</f>
        <v>16</v>
      </c>
      <c r="R33" s="57"/>
      <c r="S33" s="41">
        <f>+SUM(S29:S32)</f>
        <v>5723</v>
      </c>
      <c r="T33" s="57"/>
      <c r="U33" s="41">
        <f>+SUM(U29:U32)</f>
        <v>7280</v>
      </c>
      <c r="V33" s="57"/>
      <c r="W33" s="41">
        <f>+SUM(W29:W32)</f>
        <v>84</v>
      </c>
      <c r="X33" s="57"/>
      <c r="Y33" s="41">
        <f>+SUM(Y29:Y32)</f>
        <v>49</v>
      </c>
      <c r="Z33" s="57"/>
      <c r="AA33" s="41">
        <f>+SUM(AA29:AA32)</f>
        <v>89</v>
      </c>
      <c r="AB33" s="57"/>
      <c r="AC33" s="41">
        <f>+SUM(AC29:AC32)</f>
        <v>45</v>
      </c>
      <c r="AD33" s="57"/>
      <c r="AE33" s="41">
        <f>+SUM(AE29:AE32)</f>
        <v>6703</v>
      </c>
      <c r="AF33" s="57"/>
      <c r="AG33" s="41">
        <f>+SUM(AG29:AG32)</f>
        <v>6322</v>
      </c>
      <c r="AH33" s="57"/>
      <c r="AI33" s="41">
        <f>+SUM(AI29:AI32)</f>
        <v>8431</v>
      </c>
      <c r="AJ33" s="57"/>
      <c r="AK33" s="41">
        <f>+SUM(AK29:AK32)</f>
        <v>7371</v>
      </c>
      <c r="AL33" s="57"/>
      <c r="AM33" s="41">
        <f>+SUM(AM29:AM32)</f>
        <v>7542</v>
      </c>
      <c r="AN33" s="42"/>
      <c r="AO33" s="41">
        <f>+SUM(AO29:AO32)</f>
        <v>109</v>
      </c>
      <c r="AP33" s="57"/>
      <c r="AQ33" s="41">
        <f>+SUM(AQ29:AQ32)</f>
        <v>5364</v>
      </c>
      <c r="AR33" s="57"/>
      <c r="AS33" s="41">
        <f>+SUM(AS29:AS32)</f>
        <v>6467</v>
      </c>
      <c r="AT33" s="57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</row>
    <row r="34" spans="1:8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</row>
    <row r="35" spans="1:82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</row>
    <row r="36" spans="1:82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</row>
    <row r="37" spans="1:82" x14ac:dyDescent="0.2">
      <c r="A37" s="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</row>
    <row r="38" spans="1:82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</row>
    <row r="39" spans="1:82" x14ac:dyDescent="0.2"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</row>
    <row r="40" spans="1:82" x14ac:dyDescent="0.2"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</row>
    <row r="41" spans="1:82" x14ac:dyDescent="0.2"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</row>
    <row r="42" spans="1:82" x14ac:dyDescent="0.2"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</row>
    <row r="43" spans="1:82" x14ac:dyDescent="0.2"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</row>
    <row r="44" spans="1:82" x14ac:dyDescent="0.2"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</row>
    <row r="45" spans="1:82" x14ac:dyDescent="0.2"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</row>
    <row r="46" spans="1:82" x14ac:dyDescent="0.2"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</row>
    <row r="47" spans="1:82" x14ac:dyDescent="0.2"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</row>
    <row r="51" spans="1:1" x14ac:dyDescent="0.2">
      <c r="A51" s="3"/>
    </row>
    <row r="52" spans="1:1" x14ac:dyDescent="0.2">
      <c r="A52" s="4"/>
    </row>
    <row r="53" spans="1:1" x14ac:dyDescent="0.2">
      <c r="A53" s="4"/>
    </row>
    <row r="54" spans="1:1" x14ac:dyDescent="0.2">
      <c r="A54" s="4"/>
    </row>
    <row r="55" spans="1:1" x14ac:dyDescent="0.2">
      <c r="A55" s="3"/>
    </row>
  </sheetData>
  <customSheetViews>
    <customSheetView guid="{E44E71C3-F2DB-4787-90CC-B0F1BDA00262}" scale="75" showPageBreaks="1" printArea="1" view="pageBreakPreview">
      <pane xSplit="1" ySplit="9" topLeftCell="Q10" activePane="bottomRight" state="frozen"/>
      <selection pane="bottomRight" activeCell="AS28" sqref="AS28:AY30"/>
      <colBreaks count="2" manualBreakCount="2">
        <brk id="21" max="1048575" man="1"/>
        <brk id="49" max="1048575" man="1"/>
      </colBreaks>
      <pageMargins left="0.75" right="0.75" top="1" bottom="1" header="0.5" footer="0.5"/>
      <pageSetup paperSize="5" scale="75" orientation="landscape" r:id="rId1"/>
      <headerFooter alignWithMargins="0">
        <oddHeader xml:space="preserve">&amp;C&amp;"Arial,Bold"&amp;11Township of Galloway
General Election - November 7, 2017
Prepared by the Office of Edward P. McGettigan, Atlantic County Clerk
</oddHeader>
        <oddFooter>&amp;R&amp;11Page &amp;P</oddFooter>
      </headerFooter>
    </customSheetView>
    <customSheetView guid="{C3E722D0-E886-4AE8-B327-9CE20DCE1C01}" scale="75" showPageBreaks="1" view="pageBreakPreview">
      <pane xSplit="1" ySplit="6" topLeftCell="AG7" activePane="bottomRight" state="frozen"/>
      <selection pane="bottomRight" activeCell="AZ27" sqref="AZ27"/>
      <colBreaks count="2" manualBreakCount="2">
        <brk id="21" max="1048575" man="1"/>
        <brk id="49" max="1048575" man="1"/>
      </colBreaks>
      <pageMargins left="0.75" right="0.75" top="1" bottom="1" header="0.5" footer="0.5"/>
      <pageSetup paperSize="5" scale="75" orientation="landscape" r:id="rId2"/>
      <headerFooter alignWithMargins="0">
        <oddHeader xml:space="preserve">&amp;C&amp;"Arial,Bold"&amp;11Township of Galloway
General Election - November 3, 2015
Prepared by the Office of Edward P. McGettigan, Atlantic County Clerk
</oddHeader>
        <oddFooter>&amp;R&amp;11Page &amp;P</oddFooter>
      </headerFooter>
    </customSheetView>
    <customSheetView guid="{9227C430-E8A9-4621-9D47-B4F21D97F0A4}" scale="75" showPageBreaks="1" view="pageBreakPreview">
      <pane xSplit="1" ySplit="6" topLeftCell="AG7" activePane="bottomRight" state="frozen"/>
      <selection pane="bottomRight" activeCell="AZ27" sqref="AZ27"/>
      <colBreaks count="2" manualBreakCount="2">
        <brk id="21" max="1048575" man="1"/>
        <brk id="49" max="1048575" man="1"/>
      </colBreaks>
      <pageMargins left="0.75" right="0.75" top="1" bottom="1" header="0.5" footer="0.5"/>
      <pageSetup paperSize="5" scale="75" orientation="landscape" r:id="rId3"/>
      <headerFooter alignWithMargins="0">
        <oddHeader xml:space="preserve">&amp;C&amp;"Arial,Bold"&amp;11Township of Galloway
General Election - November 3, 2015
Prepared by the Office of Edward P. McGettigan, Atlantic County Clerk
</oddHeader>
        <oddFooter>&amp;R&amp;11Page &amp;P</oddFooter>
      </headerFooter>
    </customSheetView>
    <customSheetView guid="{7E9A004B-E820-4CD8-B4FD-2F73C3470E10}" scale="75" showPageBreaks="1" view="pageBreakPreview">
      <pane xSplit="1" ySplit="6" topLeftCell="AG7" activePane="bottomRight" state="frozen"/>
      <selection pane="bottomRight" activeCell="AZ27" sqref="AZ27"/>
      <colBreaks count="2" manualBreakCount="2">
        <brk id="21" max="1048575" man="1"/>
        <brk id="49" max="1048575" man="1"/>
      </colBreaks>
      <pageMargins left="0.75" right="0.75" top="1" bottom="1" header="0.5" footer="0.5"/>
      <pageSetup paperSize="5" scale="75" orientation="landscape" r:id="rId4"/>
      <headerFooter alignWithMargins="0">
        <oddHeader xml:space="preserve">&amp;C&amp;"Arial,Bold"&amp;11Township of Galloway
General Election - November 3, 2015
Prepared by the Office of Edward P. McGettigan, Atlantic County Clerk
</oddHeader>
        <oddFooter>&amp;R&amp;11Page &amp;P</oddFooter>
      </headerFooter>
    </customSheetView>
    <customSheetView guid="{E8E8F98C-F893-4247-8892-1264000ABD26}" scale="75" showPageBreaks="1" view="pageBreakPreview">
      <pane xSplit="1" ySplit="6" topLeftCell="AG7" activePane="bottomRight" state="frozen"/>
      <selection pane="bottomRight" activeCell="AZ27" sqref="AZ27"/>
      <colBreaks count="2" manualBreakCount="2">
        <brk id="21" max="1048575" man="1"/>
        <brk id="49" max="1048575" man="1"/>
      </colBreaks>
      <pageMargins left="0.75" right="0.75" top="1" bottom="1" header="0.5" footer="0.5"/>
      <pageSetup paperSize="5" scale="75" orientation="landscape" r:id="rId5"/>
      <headerFooter alignWithMargins="0">
        <oddHeader xml:space="preserve">&amp;C&amp;"Arial,Bold"&amp;11Township of Galloway
General Election - November 3, 2015
Prepared by the Office of Edward P. McGettigan, Atlantic County Clerk
</oddHeader>
        <oddFooter>&amp;R&amp;11Page &amp;P</oddFooter>
      </headerFooter>
    </customSheetView>
  </customSheetViews>
  <mergeCells count="6">
    <mergeCell ref="AQ5:AS5"/>
    <mergeCell ref="AE5:AG5"/>
    <mergeCell ref="C5:Q5"/>
    <mergeCell ref="S5:AC5"/>
    <mergeCell ref="AK4:AO4"/>
    <mergeCell ref="AK5:AO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 xml:space="preserve">&amp;C&amp;"Arial,Bold"&amp;11Township of Galloway
General Election - November 6, 2018
Prepared by the Office of Edward P. McGettigan, Atlantic County Clerk
</oddHeader>
    <oddFooter>&amp;R&amp;11Page &amp;P</oddFooter>
  </headerFooter>
  <colBreaks count="1" manualBreakCount="1">
    <brk id="29" max="34" man="1"/>
  </colBreaks>
  <drawing r:id="rId7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B31"/>
  <sheetViews>
    <sheetView zoomScale="75" zoomScaleNormal="75" zoomScaleSheetLayoutView="75" workbookViewId="0">
      <pane xSplit="1" ySplit="10" topLeftCell="B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33" customWidth="1"/>
    <col min="5" max="5" width="11" style="33" customWidth="1"/>
    <col min="6" max="6" width="1.7109375" style="33" customWidth="1"/>
    <col min="7" max="7" width="15.8554687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5.2851562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4.140625" style="33" customWidth="1"/>
    <col min="18" max="18" width="1.7109375" style="33" customWidth="1"/>
    <col min="19" max="19" width="13.140625" style="33" customWidth="1"/>
    <col min="20" max="20" width="1.7109375" style="33" customWidth="1"/>
    <col min="21" max="21" width="11.1406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2.140625" style="33" customWidth="1"/>
    <col min="28" max="28" width="1.7109375" style="33" customWidth="1"/>
    <col min="29" max="29" width="11.85546875" style="33" customWidth="1"/>
    <col min="30" max="30" width="1.7109375" style="33" customWidth="1"/>
    <col min="31" max="31" width="13" style="33" customWidth="1"/>
    <col min="32" max="32" width="1.7109375" style="33" customWidth="1"/>
    <col min="33" max="33" width="13.28515625" style="33" customWidth="1"/>
    <col min="34" max="34" width="1.7109375" style="33" customWidth="1"/>
    <col min="35" max="35" width="11.42578125" style="33" bestFit="1" customWidth="1"/>
    <col min="36" max="36" width="1.7109375" style="33" customWidth="1"/>
    <col min="37" max="37" width="12.7109375" style="33" customWidth="1"/>
    <col min="38" max="38" width="1.7109375" style="33" customWidth="1"/>
    <col min="39" max="39" width="12.140625" style="33" customWidth="1"/>
    <col min="40" max="40" width="1.7109375" style="33" customWidth="1"/>
    <col min="41" max="41" width="11.42578125" style="33" bestFit="1" customWidth="1"/>
    <col min="42" max="42" width="1.7109375" style="33" customWidth="1"/>
    <col min="43" max="43" width="12.140625" style="33" customWidth="1"/>
    <col min="44" max="44" width="1.7109375" style="33" customWidth="1"/>
    <col min="45" max="45" width="13.5703125" style="33" customWidth="1"/>
    <col min="46" max="46" width="1.7109375" style="33" customWidth="1"/>
    <col min="47" max="47" width="11.85546875" style="33" customWidth="1"/>
    <col min="48" max="48" width="1.7109375" style="33" customWidth="1"/>
    <col min="49" max="49" width="18" style="33" customWidth="1"/>
    <col min="50" max="50" width="1.7109375" style="33" customWidth="1"/>
    <col min="51" max="51" width="13.85546875" style="33" customWidth="1"/>
    <col min="52" max="52" width="1.7109375" style="33" customWidth="1"/>
    <col min="53" max="53" width="15.140625" style="33" customWidth="1"/>
    <col min="54" max="54" width="1.7109375" style="33" customWidth="1"/>
    <col min="55" max="55" width="19.7109375" style="33" customWidth="1"/>
    <col min="56" max="56" width="1.7109375" style="33" customWidth="1"/>
    <col min="57" max="57" width="12.140625" style="33" customWidth="1"/>
    <col min="58" max="58" width="1.7109375" style="33" customWidth="1"/>
    <col min="59" max="59" width="12.140625" style="33" customWidth="1"/>
    <col min="60" max="60" width="1.7109375" style="33" customWidth="1"/>
    <col min="61" max="61" width="9.7109375" style="33" customWidth="1"/>
    <col min="62" max="62" width="1.7109375" style="33" customWidth="1"/>
    <col min="63" max="63" width="9.7109375" style="33" customWidth="1"/>
    <col min="64" max="64" width="1.7109375" style="33" customWidth="1"/>
    <col min="65" max="65" width="12" style="1" customWidth="1"/>
    <col min="66" max="66" width="1.7109375" style="19" customWidth="1"/>
    <col min="67" max="67" width="12" style="57" customWidth="1"/>
    <col min="68" max="68" width="1.7109375" style="57" customWidth="1"/>
    <col min="69" max="69" width="12" style="57" customWidth="1"/>
    <col min="70" max="70" width="1.7109375" style="57" customWidth="1"/>
    <col min="71" max="71" width="12" style="57" customWidth="1"/>
    <col min="72" max="72" width="1.7109375" style="57" customWidth="1"/>
    <col min="73" max="73" width="12" style="57" customWidth="1"/>
    <col min="74" max="74" width="1.7109375" style="19" customWidth="1"/>
    <col min="75" max="75" width="11.85546875" style="19" customWidth="1"/>
    <col min="76" max="76" width="1.7109375" style="19" customWidth="1"/>
    <col min="77" max="77" width="11.85546875" style="19" customWidth="1"/>
    <col min="78" max="106" width="9.140625" style="19"/>
    <col min="107" max="16384" width="9.140625" style="11"/>
  </cols>
  <sheetData>
    <row r="1" spans="1:106" s="407" customFormat="1" ht="15" x14ac:dyDescent="0.25">
      <c r="A1" s="309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  <c r="AH1" s="408"/>
      <c r="AI1" s="408"/>
      <c r="AJ1" s="408"/>
      <c r="AK1" s="408"/>
      <c r="AL1" s="408"/>
      <c r="AM1" s="408"/>
      <c r="AN1" s="408"/>
      <c r="AO1" s="408"/>
      <c r="AP1" s="408"/>
      <c r="AQ1" s="408"/>
      <c r="AR1" s="408"/>
      <c r="AS1" s="408"/>
      <c r="AT1" s="408"/>
      <c r="AU1" s="154" t="s">
        <v>122</v>
      </c>
      <c r="AV1" s="408"/>
      <c r="AW1" s="408"/>
      <c r="AX1" s="408"/>
      <c r="AY1" s="408"/>
      <c r="AZ1" s="408"/>
      <c r="BA1" s="408"/>
      <c r="BB1" s="408"/>
      <c r="BC1" s="137"/>
      <c r="BD1" s="323"/>
      <c r="BE1" s="323"/>
      <c r="BF1" s="408"/>
      <c r="BG1" s="408"/>
      <c r="BH1" s="408"/>
      <c r="BI1" s="408"/>
      <c r="BJ1" s="408"/>
      <c r="BK1" s="408"/>
      <c r="BL1" s="408"/>
      <c r="BM1" s="360"/>
      <c r="BN1" s="373"/>
      <c r="BO1" s="433"/>
      <c r="BP1" s="433"/>
      <c r="BQ1" s="433"/>
      <c r="BR1" s="433"/>
      <c r="BS1" s="433"/>
      <c r="BT1" s="433"/>
      <c r="BU1" s="433"/>
      <c r="BV1" s="409"/>
      <c r="BW1" s="409"/>
      <c r="BX1" s="409"/>
      <c r="BY1" s="409"/>
      <c r="BZ1" s="409"/>
      <c r="CA1" s="409"/>
      <c r="CB1" s="409"/>
      <c r="CC1" s="409"/>
      <c r="CD1" s="409"/>
      <c r="CE1" s="409"/>
      <c r="CF1" s="409"/>
      <c r="CG1" s="409"/>
      <c r="CH1" s="409"/>
      <c r="CI1" s="409"/>
      <c r="CJ1" s="409"/>
      <c r="CK1" s="409"/>
      <c r="CL1" s="409"/>
      <c r="CM1" s="409"/>
      <c r="CN1" s="409"/>
      <c r="CO1" s="409"/>
      <c r="CP1" s="409"/>
      <c r="CQ1" s="409"/>
      <c r="CR1" s="409"/>
      <c r="CS1" s="409"/>
      <c r="CT1" s="409"/>
      <c r="CU1" s="409"/>
      <c r="CV1" s="409"/>
      <c r="CW1" s="409"/>
      <c r="CX1" s="409"/>
      <c r="CY1" s="409"/>
      <c r="CZ1" s="409"/>
      <c r="DA1" s="409"/>
      <c r="DB1" s="409"/>
    </row>
    <row r="2" spans="1:106" s="372" customFormat="1" ht="15" x14ac:dyDescent="0.25">
      <c r="A2" s="362"/>
      <c r="C2" s="154"/>
      <c r="D2" s="154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23"/>
      <c r="R2" s="323"/>
      <c r="S2" s="323"/>
      <c r="T2" s="310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137"/>
      <c r="AU2" s="154" t="s">
        <v>266</v>
      </c>
      <c r="AV2" s="137"/>
      <c r="AW2" s="137"/>
      <c r="AX2" s="137"/>
      <c r="AY2" s="137"/>
      <c r="AZ2" s="137"/>
      <c r="BA2" s="137"/>
      <c r="BB2" s="137"/>
      <c r="BC2" s="137"/>
      <c r="BD2" s="411"/>
      <c r="BE2" s="411"/>
      <c r="BF2" s="137"/>
      <c r="BG2" s="137"/>
      <c r="BH2" s="154"/>
      <c r="BI2" s="137"/>
      <c r="BJ2" s="154"/>
      <c r="BK2" s="137"/>
      <c r="BL2" s="154"/>
      <c r="BM2" s="360"/>
      <c r="BN2" s="373"/>
      <c r="BO2" s="413"/>
      <c r="BP2" s="413"/>
      <c r="BQ2" s="413"/>
      <c r="BR2" s="413"/>
      <c r="BS2" s="413"/>
      <c r="BT2" s="413"/>
      <c r="BU2" s="413"/>
      <c r="BV2" s="373"/>
      <c r="BW2" s="373"/>
      <c r="BX2" s="373"/>
      <c r="BY2" s="373"/>
      <c r="BZ2" s="373"/>
      <c r="CA2" s="373"/>
      <c r="CB2" s="373"/>
      <c r="CC2" s="373"/>
      <c r="CD2" s="373"/>
      <c r="CE2" s="373"/>
      <c r="CF2" s="373"/>
      <c r="CG2" s="373"/>
      <c r="CH2" s="373"/>
      <c r="CI2" s="373"/>
      <c r="CJ2" s="373"/>
      <c r="CK2" s="373"/>
      <c r="CL2" s="373"/>
      <c r="CM2" s="373"/>
      <c r="CN2" s="373"/>
      <c r="CO2" s="373"/>
      <c r="CP2" s="373"/>
      <c r="CQ2" s="373"/>
      <c r="CR2" s="373"/>
      <c r="CS2" s="373"/>
      <c r="CT2" s="373"/>
      <c r="CU2" s="373"/>
      <c r="CV2" s="373"/>
      <c r="CW2" s="373"/>
      <c r="CX2" s="373"/>
      <c r="CY2" s="373"/>
      <c r="CZ2" s="373"/>
      <c r="DA2" s="373"/>
      <c r="DB2" s="373"/>
    </row>
    <row r="3" spans="1:106" s="372" customFormat="1" ht="15" x14ac:dyDescent="0.25">
      <c r="A3" s="362"/>
      <c r="C3" s="154"/>
      <c r="D3" s="154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137"/>
      <c r="R3" s="137"/>
      <c r="S3" s="137"/>
      <c r="T3" s="310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137"/>
      <c r="AU3" s="154" t="s">
        <v>267</v>
      </c>
      <c r="AV3" s="137"/>
      <c r="AW3" s="137"/>
      <c r="AX3" s="137"/>
      <c r="AY3" s="137"/>
      <c r="AZ3" s="137"/>
      <c r="BA3" s="137"/>
      <c r="BB3" s="137"/>
      <c r="BC3" s="137"/>
      <c r="BD3" s="411"/>
      <c r="BE3" s="472" t="s">
        <v>144</v>
      </c>
      <c r="BF3" s="472"/>
      <c r="BG3" s="472"/>
      <c r="BH3" s="154"/>
      <c r="BI3" s="137"/>
      <c r="BJ3" s="154"/>
      <c r="BK3" s="137"/>
      <c r="BL3" s="154"/>
      <c r="BM3" s="360"/>
      <c r="BN3" s="373"/>
      <c r="BO3" s="413"/>
      <c r="BP3" s="413"/>
      <c r="BQ3" s="413"/>
      <c r="BR3" s="413"/>
      <c r="BS3" s="413"/>
      <c r="BT3" s="413"/>
      <c r="BU3" s="41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</row>
    <row r="4" spans="1:106" s="372" customFormat="1" ht="15" x14ac:dyDescent="0.25">
      <c r="A4" s="362"/>
      <c r="C4" s="154"/>
      <c r="D4" s="154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H4" s="310"/>
      <c r="AI4" s="310"/>
      <c r="AJ4" s="310"/>
      <c r="AK4" s="310"/>
      <c r="AL4" s="323"/>
      <c r="AM4" s="323"/>
      <c r="AN4" s="323"/>
      <c r="AO4" s="323"/>
      <c r="AP4" s="323"/>
      <c r="AQ4" s="323"/>
      <c r="AR4" s="323"/>
      <c r="AS4" s="323"/>
      <c r="AT4" s="137"/>
      <c r="AU4" s="410" t="s">
        <v>268</v>
      </c>
      <c r="AV4" s="323"/>
      <c r="AW4" s="323"/>
      <c r="AX4" s="137"/>
      <c r="AY4" s="323"/>
      <c r="AZ4" s="323"/>
      <c r="BA4" s="323"/>
      <c r="BB4" s="137"/>
      <c r="BC4" s="137"/>
      <c r="BD4" s="410"/>
      <c r="BE4" s="472" t="s">
        <v>116</v>
      </c>
      <c r="BF4" s="472"/>
      <c r="BG4" s="472"/>
      <c r="BH4" s="411"/>
      <c r="BI4" s="411"/>
      <c r="BJ4" s="411"/>
      <c r="BK4" s="411"/>
      <c r="BL4" s="411"/>
      <c r="BM4" s="360"/>
      <c r="BN4" s="373"/>
      <c r="BO4" s="413"/>
      <c r="BP4" s="413"/>
      <c r="BQ4" s="413"/>
      <c r="BR4" s="413"/>
      <c r="BS4" s="413"/>
      <c r="BT4" s="413"/>
      <c r="BU4" s="413"/>
      <c r="BV4" s="373"/>
      <c r="BW4" s="373"/>
      <c r="BX4" s="373"/>
      <c r="BY4" s="373"/>
      <c r="BZ4" s="373"/>
      <c r="CA4" s="373"/>
      <c r="CB4" s="373"/>
      <c r="CC4" s="373"/>
      <c r="CD4" s="373"/>
      <c r="CE4" s="373"/>
      <c r="CF4" s="373"/>
      <c r="CG4" s="37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</row>
    <row r="5" spans="1:106" s="372" customFormat="1" ht="15.75" thickBot="1" x14ac:dyDescent="0.3">
      <c r="A5" s="362"/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142"/>
      <c r="AE5" s="470" t="s">
        <v>80</v>
      </c>
      <c r="AF5" s="470"/>
      <c r="AG5" s="470"/>
      <c r="AH5" s="376"/>
      <c r="AI5" s="471" t="s">
        <v>185</v>
      </c>
      <c r="AJ5" s="471"/>
      <c r="AK5" s="471"/>
      <c r="AL5" s="310"/>
      <c r="AM5" s="461" t="s">
        <v>110</v>
      </c>
      <c r="AN5" s="461"/>
      <c r="AO5" s="461"/>
      <c r="AP5" s="461"/>
      <c r="AQ5" s="461"/>
      <c r="AR5" s="461"/>
      <c r="AS5" s="461"/>
      <c r="AT5" s="137"/>
      <c r="AU5" s="410" t="s">
        <v>126</v>
      </c>
      <c r="AV5" s="137"/>
      <c r="AW5" s="457" t="s">
        <v>342</v>
      </c>
      <c r="AX5" s="457"/>
      <c r="AY5" s="457"/>
      <c r="AZ5" s="457"/>
      <c r="BA5" s="457"/>
      <c r="BB5" s="457"/>
      <c r="BC5" s="457"/>
      <c r="BD5" s="323"/>
      <c r="BE5" s="464" t="s">
        <v>245</v>
      </c>
      <c r="BF5" s="464"/>
      <c r="BG5" s="464"/>
      <c r="BH5" s="294"/>
      <c r="BI5" s="457" t="s">
        <v>196</v>
      </c>
      <c r="BJ5" s="457"/>
      <c r="BK5" s="457"/>
      <c r="BL5" s="294"/>
      <c r="BO5" s="451"/>
      <c r="BP5" s="451"/>
      <c r="BQ5" s="451"/>
      <c r="BR5" s="451"/>
      <c r="BS5" s="451"/>
      <c r="BT5" s="451"/>
      <c r="BU5" s="451"/>
      <c r="BV5" s="373"/>
      <c r="BW5" s="373"/>
      <c r="BX5" s="373"/>
      <c r="BY5" s="373"/>
      <c r="BZ5" s="373"/>
      <c r="CA5" s="373"/>
      <c r="CB5" s="373"/>
      <c r="CC5" s="373"/>
      <c r="CD5" s="373"/>
      <c r="CE5" s="373"/>
      <c r="CF5" s="373"/>
      <c r="CG5" s="37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</row>
    <row r="6" spans="1:106" s="10" customFormat="1" ht="15" x14ac:dyDescent="0.2">
      <c r="A6" s="72"/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142"/>
      <c r="AE6" s="172"/>
      <c r="AF6" s="173"/>
      <c r="AG6" s="174"/>
      <c r="AH6" s="267"/>
      <c r="AI6" s="386"/>
      <c r="AJ6" s="387"/>
      <c r="AK6" s="388" t="str">
        <f>+'Lead Sheet '!AO4</f>
        <v>Barbara</v>
      </c>
      <c r="AL6" s="282"/>
      <c r="AM6" s="122"/>
      <c r="AN6" s="104"/>
      <c r="AO6" s="92"/>
      <c r="AP6" s="104"/>
      <c r="AQ6" s="92"/>
      <c r="AR6" s="104"/>
      <c r="AS6" s="102"/>
      <c r="AT6" s="279"/>
      <c r="AU6" s="421"/>
      <c r="AV6" s="152"/>
      <c r="AW6" s="176"/>
      <c r="AX6" s="164"/>
      <c r="AY6" s="170"/>
      <c r="AZ6" s="170"/>
      <c r="BA6" s="170"/>
      <c r="BB6" s="170"/>
      <c r="BC6" s="178"/>
      <c r="BD6" s="152"/>
      <c r="BE6" s="176"/>
      <c r="BF6" s="170"/>
      <c r="BG6" s="171"/>
      <c r="BH6" s="96"/>
      <c r="BI6" s="172"/>
      <c r="BJ6" s="173"/>
      <c r="BK6" s="174"/>
      <c r="BL6" s="96"/>
      <c r="BM6" s="79"/>
      <c r="BN6" s="77"/>
      <c r="BO6" s="81"/>
      <c r="BP6" s="77"/>
      <c r="BQ6" s="81"/>
      <c r="BR6" s="77"/>
      <c r="BS6" s="81"/>
      <c r="BT6" s="77"/>
      <c r="BU6" s="82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</row>
    <row r="7" spans="1:106" s="10" customFormat="1" ht="15" x14ac:dyDescent="0.25">
      <c r="A7" s="61" t="s">
        <v>91</v>
      </c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106" t="str">
        <f>+'Lead Sheet '!AM5</f>
        <v>James</v>
      </c>
      <c r="AJ7" s="282"/>
      <c r="AK7" s="107" t="str">
        <f>+'Lead Sheet '!AO5</f>
        <v>BUTTERHOF</v>
      </c>
      <c r="AL7" s="282"/>
      <c r="AM7" s="106" t="s">
        <v>321</v>
      </c>
      <c r="AN7" s="282"/>
      <c r="AO7" s="95" t="s">
        <v>124</v>
      </c>
      <c r="AP7" s="282"/>
      <c r="AQ7" s="95" t="s">
        <v>323</v>
      </c>
      <c r="AR7" s="282"/>
      <c r="AS7" s="107" t="s">
        <v>325</v>
      </c>
      <c r="AT7" s="279"/>
      <c r="AU7" s="202" t="s">
        <v>328</v>
      </c>
      <c r="AV7" s="152"/>
      <c r="AW7" s="166" t="s">
        <v>128</v>
      </c>
      <c r="AX7" s="279"/>
      <c r="AY7" s="150" t="s">
        <v>129</v>
      </c>
      <c r="AZ7" s="150"/>
      <c r="BA7" s="150" t="s">
        <v>334</v>
      </c>
      <c r="BB7" s="150"/>
      <c r="BC7" s="167" t="s">
        <v>111</v>
      </c>
      <c r="BD7" s="152"/>
      <c r="BE7" s="166" t="s">
        <v>218</v>
      </c>
      <c r="BF7" s="150"/>
      <c r="BG7" s="184" t="s">
        <v>340</v>
      </c>
      <c r="BH7" s="96"/>
      <c r="BI7" s="155"/>
      <c r="BJ7" s="137"/>
      <c r="BK7" s="156"/>
      <c r="BL7" s="96"/>
      <c r="BM7" s="78" t="s">
        <v>24</v>
      </c>
      <c r="BN7" s="76"/>
      <c r="BO7" s="83" t="s">
        <v>24</v>
      </c>
      <c r="BP7" s="76"/>
      <c r="BQ7" s="83" t="s">
        <v>24</v>
      </c>
      <c r="BR7" s="76"/>
      <c r="BS7" s="83" t="s">
        <v>24</v>
      </c>
      <c r="BT7" s="76"/>
      <c r="BU7" s="84" t="s">
        <v>24</v>
      </c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</row>
    <row r="8" spans="1:106" s="10" customFormat="1" ht="14.25" x14ac:dyDescent="0.2">
      <c r="A8" s="61" t="s">
        <v>92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106" t="str">
        <f>+'Lead Sheet '!AM6</f>
        <v>BERTINO</v>
      </c>
      <c r="AJ8" s="282"/>
      <c r="AK8" s="107" t="str">
        <f>+'Lead Sheet '!AO6</f>
        <v>RHEAULT</v>
      </c>
      <c r="AL8" s="282"/>
      <c r="AM8" s="106" t="s">
        <v>309</v>
      </c>
      <c r="AN8" s="282"/>
      <c r="AO8" s="95" t="s">
        <v>322</v>
      </c>
      <c r="AP8" s="282"/>
      <c r="AQ8" s="95" t="s">
        <v>324</v>
      </c>
      <c r="AR8" s="282"/>
      <c r="AS8" s="107" t="s">
        <v>326</v>
      </c>
      <c r="AT8" s="279"/>
      <c r="AU8" s="202" t="s">
        <v>329</v>
      </c>
      <c r="AV8" s="152"/>
      <c r="AW8" s="166" t="s">
        <v>330</v>
      </c>
      <c r="AX8" s="279"/>
      <c r="AY8" s="150" t="s">
        <v>333</v>
      </c>
      <c r="AZ8" s="150"/>
      <c r="BA8" s="150" t="s">
        <v>335</v>
      </c>
      <c r="BB8" s="150"/>
      <c r="BC8" s="167" t="s">
        <v>336</v>
      </c>
      <c r="BD8" s="152"/>
      <c r="BE8" s="166" t="s">
        <v>339</v>
      </c>
      <c r="BF8" s="150"/>
      <c r="BG8" s="184" t="s">
        <v>341</v>
      </c>
      <c r="BH8" s="96"/>
      <c r="BI8" s="315" t="s">
        <v>106</v>
      </c>
      <c r="BJ8" s="143"/>
      <c r="BK8" s="316" t="s">
        <v>107</v>
      </c>
      <c r="BL8" s="96"/>
      <c r="BM8" s="78" t="s">
        <v>83</v>
      </c>
      <c r="BN8" s="76"/>
      <c r="BO8" s="83" t="s">
        <v>84</v>
      </c>
      <c r="BP8" s="76"/>
      <c r="BQ8" s="83" t="s">
        <v>85</v>
      </c>
      <c r="BR8" s="76"/>
      <c r="BS8" s="83" t="s">
        <v>86</v>
      </c>
      <c r="BT8" s="76"/>
      <c r="BU8" s="84" t="s">
        <v>87</v>
      </c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</row>
    <row r="9" spans="1:106" s="10" customFormat="1" ht="14.25" x14ac:dyDescent="0.2">
      <c r="A9" s="72"/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106" t="str">
        <f>+'Lead Sheet '!AM7</f>
        <v>Republican</v>
      </c>
      <c r="AJ9" s="282"/>
      <c r="AK9" s="107" t="str">
        <f>+'Lead Sheet '!AO7</f>
        <v>Democratic</v>
      </c>
      <c r="AL9" s="282"/>
      <c r="AM9" s="106" t="s">
        <v>327</v>
      </c>
      <c r="AN9" s="95"/>
      <c r="AO9" s="95" t="s">
        <v>93</v>
      </c>
      <c r="AP9" s="95"/>
      <c r="AQ9" s="95" t="s">
        <v>99</v>
      </c>
      <c r="AR9" s="95"/>
      <c r="AS9" s="107" t="s">
        <v>99</v>
      </c>
      <c r="AT9" s="279"/>
      <c r="AU9" s="422"/>
      <c r="AV9" s="88"/>
      <c r="AW9" s="166" t="s">
        <v>331</v>
      </c>
      <c r="AX9" s="279"/>
      <c r="AY9" s="150"/>
      <c r="AZ9" s="150"/>
      <c r="BA9" s="150"/>
      <c r="BB9" s="150"/>
      <c r="BC9" s="167" t="s">
        <v>337</v>
      </c>
      <c r="BD9" s="152"/>
      <c r="BE9" s="166"/>
      <c r="BF9" s="150"/>
      <c r="BG9" s="184"/>
      <c r="BH9" s="96"/>
      <c r="BI9" s="296"/>
      <c r="BJ9" s="295"/>
      <c r="BK9" s="297"/>
      <c r="BL9" s="96"/>
      <c r="BM9" s="78" t="s">
        <v>89</v>
      </c>
      <c r="BN9" s="76"/>
      <c r="BO9" s="83" t="s">
        <v>90</v>
      </c>
      <c r="BP9" s="76"/>
      <c r="BQ9" s="83" t="s">
        <v>89</v>
      </c>
      <c r="BR9" s="76"/>
      <c r="BS9" s="83" t="s">
        <v>89</v>
      </c>
      <c r="BT9" s="76"/>
      <c r="BU9" s="84" t="s">
        <v>89</v>
      </c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</row>
    <row r="10" spans="1:106" s="424" customFormat="1" ht="15" thickBot="1" x14ac:dyDescent="0.25">
      <c r="A10" s="423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425"/>
      <c r="AM10" s="426"/>
      <c r="AN10" s="427"/>
      <c r="AO10" s="427"/>
      <c r="AP10" s="427"/>
      <c r="AQ10" s="427"/>
      <c r="AR10" s="427"/>
      <c r="AS10" s="428"/>
      <c r="AT10" s="371"/>
      <c r="AU10" s="429"/>
      <c r="AV10" s="425"/>
      <c r="AW10" s="426" t="s">
        <v>332</v>
      </c>
      <c r="AX10" s="427"/>
      <c r="AY10" s="427"/>
      <c r="AZ10" s="427"/>
      <c r="BA10" s="427"/>
      <c r="BB10" s="427"/>
      <c r="BC10" s="428" t="s">
        <v>338</v>
      </c>
      <c r="BD10" s="425"/>
      <c r="BE10" s="426"/>
      <c r="BF10" s="427"/>
      <c r="BG10" s="428"/>
      <c r="BH10" s="371"/>
      <c r="BI10" s="146"/>
      <c r="BJ10" s="144"/>
      <c r="BK10" s="145"/>
      <c r="BL10" s="371"/>
      <c r="BM10" s="80"/>
      <c r="BN10" s="85"/>
      <c r="BO10" s="85"/>
      <c r="BP10" s="85"/>
      <c r="BQ10" s="85"/>
      <c r="BR10" s="85"/>
      <c r="BS10" s="85"/>
      <c r="BT10" s="85"/>
      <c r="BU10" s="86"/>
      <c r="BX10" s="430"/>
      <c r="BY10" s="430"/>
      <c r="BZ10" s="430"/>
      <c r="CA10" s="430"/>
      <c r="CB10" s="430"/>
      <c r="CC10" s="430"/>
      <c r="CD10" s="430"/>
      <c r="CE10" s="430"/>
      <c r="CF10" s="430"/>
      <c r="CG10" s="430"/>
      <c r="CH10" s="430"/>
      <c r="CI10" s="430"/>
      <c r="CJ10" s="430"/>
      <c r="CK10" s="430"/>
      <c r="CL10" s="430"/>
      <c r="CM10" s="430"/>
      <c r="CN10" s="430"/>
      <c r="CO10" s="430"/>
      <c r="CP10" s="430"/>
      <c r="CQ10" s="430"/>
      <c r="CR10" s="430"/>
      <c r="CS10" s="430"/>
      <c r="CT10" s="430"/>
      <c r="CU10" s="430"/>
      <c r="CV10" s="430"/>
      <c r="CW10" s="430"/>
      <c r="CX10" s="430"/>
      <c r="CY10" s="430"/>
      <c r="CZ10" s="430"/>
    </row>
    <row r="11" spans="1:106" s="22" customFormat="1" x14ac:dyDescent="0.2">
      <c r="A11" s="9" t="s">
        <v>53</v>
      </c>
      <c r="C11" s="16">
        <f>160+155</f>
        <v>315</v>
      </c>
      <c r="D11" s="19"/>
      <c r="E11" s="16">
        <f>137+137</f>
        <v>274</v>
      </c>
      <c r="F11" s="19"/>
      <c r="G11" s="16">
        <f>8+12</f>
        <v>20</v>
      </c>
      <c r="H11" s="19"/>
      <c r="I11" s="16">
        <f>1+3</f>
        <v>4</v>
      </c>
      <c r="J11" s="19"/>
      <c r="K11" s="16">
        <f>2+5</f>
        <v>7</v>
      </c>
      <c r="L11" s="19"/>
      <c r="M11" s="16">
        <f>1+3</f>
        <v>4</v>
      </c>
      <c r="N11" s="19"/>
      <c r="O11" s="16">
        <v>1</v>
      </c>
      <c r="P11" s="19"/>
      <c r="Q11" s="16">
        <f>1+2</f>
        <v>3</v>
      </c>
      <c r="R11" s="19"/>
      <c r="S11" s="16">
        <f>137+132</f>
        <v>269</v>
      </c>
      <c r="T11" s="19"/>
      <c r="U11" s="16">
        <f>168+175</f>
        <v>343</v>
      </c>
      <c r="V11" s="19"/>
      <c r="W11" s="16">
        <f>1+2</f>
        <v>3</v>
      </c>
      <c r="X11" s="19"/>
      <c r="Y11" s="16">
        <f>1+3</f>
        <v>4</v>
      </c>
      <c r="Z11" s="19"/>
      <c r="AA11" s="16">
        <f>2+3</f>
        <v>5</v>
      </c>
      <c r="AB11" s="19"/>
      <c r="AC11" s="16">
        <f>1+1</f>
        <v>2</v>
      </c>
      <c r="AD11" s="19"/>
      <c r="AE11" s="16">
        <f>169+157</f>
        <v>326</v>
      </c>
      <c r="AF11" s="19"/>
      <c r="AG11" s="16">
        <f>138+152</f>
        <v>290</v>
      </c>
      <c r="AH11" s="19"/>
      <c r="AI11" s="16">
        <f>162+153</f>
        <v>315</v>
      </c>
      <c r="AJ11" s="19"/>
      <c r="AK11" s="16">
        <f>147+157</f>
        <v>304</v>
      </c>
      <c r="AL11" s="19"/>
      <c r="AM11" s="18">
        <f>161+155</f>
        <v>316</v>
      </c>
      <c r="AN11" s="19"/>
      <c r="AO11" s="18">
        <f>165+161</f>
        <v>326</v>
      </c>
      <c r="AP11" s="19"/>
      <c r="AQ11" s="18">
        <f>141+156</f>
        <v>297</v>
      </c>
      <c r="AR11" s="19"/>
      <c r="AS11" s="18">
        <f>139+143</f>
        <v>282</v>
      </c>
      <c r="AT11" s="19"/>
      <c r="AU11" s="18">
        <f>205+208</f>
        <v>413</v>
      </c>
      <c r="AV11" s="19"/>
      <c r="AW11" s="18">
        <f>145+141</f>
        <v>286</v>
      </c>
      <c r="AX11" s="19"/>
      <c r="AY11" s="18">
        <f>189+198</f>
        <v>387</v>
      </c>
      <c r="AZ11" s="19"/>
      <c r="BA11" s="18">
        <f>109+129</f>
        <v>238</v>
      </c>
      <c r="BB11" s="19"/>
      <c r="BC11" s="18">
        <f>147+145</f>
        <v>292</v>
      </c>
      <c r="BD11" s="19"/>
      <c r="BE11" s="18">
        <f>95+96</f>
        <v>191</v>
      </c>
      <c r="BF11" s="19"/>
      <c r="BG11" s="18">
        <f>125+128</f>
        <v>253</v>
      </c>
      <c r="BH11" s="19"/>
      <c r="BI11" s="16">
        <f>109+128</f>
        <v>237</v>
      </c>
      <c r="BJ11" s="19"/>
      <c r="BK11" s="16">
        <f>154+148</f>
        <v>302</v>
      </c>
      <c r="BL11" s="19"/>
      <c r="BM11" s="18">
        <f>314+321</f>
        <v>635</v>
      </c>
      <c r="BN11" s="23"/>
      <c r="BO11" s="55">
        <v>1053</v>
      </c>
      <c r="BP11" s="452"/>
      <c r="BQ11" s="55">
        <v>184</v>
      </c>
      <c r="BR11" s="452"/>
      <c r="BS11" s="55"/>
      <c r="BT11" s="452"/>
      <c r="BU11" s="55">
        <f t="shared" ref="BU11:BU19" si="0">+SUM(BM11:BS11)</f>
        <v>1872</v>
      </c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</row>
    <row r="12" spans="1:106" x14ac:dyDescent="0.2">
      <c r="A12" s="9" t="s">
        <v>54</v>
      </c>
      <c r="C12" s="16">
        <f>226+237</f>
        <v>463</v>
      </c>
      <c r="D12" s="19"/>
      <c r="E12" s="16">
        <f>114+119</f>
        <v>233</v>
      </c>
      <c r="F12" s="19"/>
      <c r="G12" s="16">
        <f>5+4</f>
        <v>9</v>
      </c>
      <c r="H12" s="19"/>
      <c r="I12" s="16">
        <v>1</v>
      </c>
      <c r="J12" s="19"/>
      <c r="K12" s="16">
        <f>3+3</f>
        <v>6</v>
      </c>
      <c r="L12" s="19"/>
      <c r="M12" s="16">
        <f>1+4</f>
        <v>5</v>
      </c>
      <c r="N12" s="19"/>
      <c r="O12" s="16">
        <v>0</v>
      </c>
      <c r="P12" s="19"/>
      <c r="Q12" s="16">
        <f>1+2</f>
        <v>3</v>
      </c>
      <c r="R12" s="19"/>
      <c r="S12" s="16">
        <f>193+202</f>
        <v>395</v>
      </c>
      <c r="T12" s="19"/>
      <c r="U12" s="16">
        <f>148+152</f>
        <v>300</v>
      </c>
      <c r="V12" s="19"/>
      <c r="W12" s="16">
        <f>5+2</f>
        <v>7</v>
      </c>
      <c r="X12" s="19"/>
      <c r="Y12" s="16">
        <v>2</v>
      </c>
      <c r="Z12" s="19"/>
      <c r="AA12" s="16">
        <f>3+4</f>
        <v>7</v>
      </c>
      <c r="AB12" s="19"/>
      <c r="AC12" s="16">
        <v>3</v>
      </c>
      <c r="AD12" s="19"/>
      <c r="AE12" s="16">
        <f>231+242</f>
        <v>473</v>
      </c>
      <c r="AF12" s="19"/>
      <c r="AG12" s="16">
        <f>116+121</f>
        <v>237</v>
      </c>
      <c r="AH12" s="19"/>
      <c r="AI12" s="16">
        <f>213+218</f>
        <v>431</v>
      </c>
      <c r="AJ12" s="19"/>
      <c r="AK12" s="16">
        <f>133+142</f>
        <v>275</v>
      </c>
      <c r="AL12" s="19"/>
      <c r="AM12" s="16">
        <f>233+230</f>
        <v>463</v>
      </c>
      <c r="AN12" s="19"/>
      <c r="AO12" s="16">
        <f>225+224</f>
        <v>449</v>
      </c>
      <c r="AP12" s="19"/>
      <c r="AQ12" s="16">
        <f>123+135</f>
        <v>258</v>
      </c>
      <c r="AR12" s="19"/>
      <c r="AS12" s="16">
        <f>111+124</f>
        <v>235</v>
      </c>
      <c r="AT12" s="19"/>
      <c r="AU12" s="16">
        <f>229+231</f>
        <v>460</v>
      </c>
      <c r="AV12" s="19"/>
      <c r="AW12" s="16">
        <f>166+172</f>
        <v>338</v>
      </c>
      <c r="AX12" s="19"/>
      <c r="AY12" s="16">
        <f>204+202</f>
        <v>406</v>
      </c>
      <c r="AZ12" s="19"/>
      <c r="BA12" s="16">
        <f>140+145</f>
        <v>285</v>
      </c>
      <c r="BB12" s="19"/>
      <c r="BC12" s="16">
        <f>145+155</f>
        <v>300</v>
      </c>
      <c r="BD12" s="19"/>
      <c r="BE12" s="16">
        <f>89+98</f>
        <v>187</v>
      </c>
      <c r="BF12" s="19"/>
      <c r="BG12" s="16">
        <f>155+155</f>
        <v>310</v>
      </c>
      <c r="BH12" s="19"/>
      <c r="BI12" s="16">
        <f>95+98</f>
        <v>193</v>
      </c>
      <c r="BJ12" s="19"/>
      <c r="BK12" s="16">
        <f>226+243</f>
        <v>469</v>
      </c>
      <c r="BL12" s="19"/>
      <c r="BM12" s="16">
        <f>356+375</f>
        <v>731</v>
      </c>
      <c r="BO12" s="56"/>
      <c r="BQ12" s="56"/>
      <c r="BS12" s="56"/>
      <c r="BU12" s="55">
        <f t="shared" si="0"/>
        <v>731</v>
      </c>
      <c r="DA12" s="11"/>
      <c r="DB12" s="11"/>
    </row>
    <row r="13" spans="1:106" x14ac:dyDescent="0.2">
      <c r="A13" s="9" t="s">
        <v>55</v>
      </c>
      <c r="C13" s="16">
        <f>124+105</f>
        <v>229</v>
      </c>
      <c r="D13" s="19"/>
      <c r="E13" s="16">
        <f>96+112</f>
        <v>208</v>
      </c>
      <c r="F13" s="19"/>
      <c r="G13" s="16">
        <f>3+5</f>
        <v>8</v>
      </c>
      <c r="H13" s="19"/>
      <c r="I13" s="16">
        <v>2</v>
      </c>
      <c r="J13" s="19"/>
      <c r="K13" s="16">
        <f>2+2</f>
        <v>4</v>
      </c>
      <c r="L13" s="35"/>
      <c r="M13" s="60">
        <v>1</v>
      </c>
      <c r="N13" s="19"/>
      <c r="O13" s="60">
        <v>0</v>
      </c>
      <c r="P13" s="19"/>
      <c r="Q13" s="60">
        <v>2</v>
      </c>
      <c r="R13" s="19"/>
      <c r="S13" s="60">
        <f>118+96</f>
        <v>214</v>
      </c>
      <c r="T13" s="19"/>
      <c r="U13" s="60">
        <f>107+125</f>
        <v>232</v>
      </c>
      <c r="V13" s="19"/>
      <c r="W13" s="60">
        <v>4</v>
      </c>
      <c r="X13" s="19"/>
      <c r="Y13" s="60">
        <v>1</v>
      </c>
      <c r="Z13" s="19"/>
      <c r="AA13" s="60">
        <v>2</v>
      </c>
      <c r="AB13" s="19"/>
      <c r="AC13" s="60">
        <v>1</v>
      </c>
      <c r="AD13" s="19"/>
      <c r="AE13" s="60">
        <f>127+105</f>
        <v>232</v>
      </c>
      <c r="AF13" s="19"/>
      <c r="AG13" s="60">
        <f>99+119</f>
        <v>218</v>
      </c>
      <c r="AH13" s="19"/>
      <c r="AI13" s="16">
        <f>123+101</f>
        <v>224</v>
      </c>
      <c r="AJ13" s="19"/>
      <c r="AK13" s="16">
        <f>102+120</f>
        <v>222</v>
      </c>
      <c r="AL13" s="19"/>
      <c r="AM13" s="16">
        <f>136+106</f>
        <v>242</v>
      </c>
      <c r="AN13" s="19"/>
      <c r="AO13" s="16">
        <f>132+108</f>
        <v>240</v>
      </c>
      <c r="AP13" s="19"/>
      <c r="AQ13" s="16">
        <f>90+119</f>
        <v>209</v>
      </c>
      <c r="AR13" s="19"/>
      <c r="AS13" s="16">
        <f>87+107</f>
        <v>194</v>
      </c>
      <c r="AT13" s="19"/>
      <c r="AU13" s="16">
        <f>156+151</f>
        <v>307</v>
      </c>
      <c r="AV13" s="19"/>
      <c r="AW13" s="16">
        <f>123+111</f>
        <v>234</v>
      </c>
      <c r="AX13" s="19"/>
      <c r="AY13" s="16">
        <f>122+119</f>
        <v>241</v>
      </c>
      <c r="AZ13" s="19"/>
      <c r="BA13" s="16">
        <f>91+90</f>
        <v>181</v>
      </c>
      <c r="BB13" s="19"/>
      <c r="BC13" s="16">
        <f>76+71</f>
        <v>147</v>
      </c>
      <c r="BD13" s="19"/>
      <c r="BE13" s="16">
        <f>74+76</f>
        <v>150</v>
      </c>
      <c r="BF13" s="19"/>
      <c r="BG13" s="16">
        <f>82+78</f>
        <v>160</v>
      </c>
      <c r="BH13" s="19"/>
      <c r="BI13" s="16">
        <f>81+95</f>
        <v>176</v>
      </c>
      <c r="BJ13" s="19"/>
      <c r="BK13" s="16">
        <f>117+103</f>
        <v>220</v>
      </c>
      <c r="BL13" s="19"/>
      <c r="BM13" s="16">
        <f>229+230</f>
        <v>459</v>
      </c>
      <c r="BO13" s="56"/>
      <c r="BQ13" s="56"/>
      <c r="BS13" s="56"/>
      <c r="BU13" s="55">
        <f t="shared" si="0"/>
        <v>459</v>
      </c>
      <c r="DA13" s="11"/>
      <c r="DB13" s="11"/>
    </row>
    <row r="14" spans="1:106" x14ac:dyDescent="0.2">
      <c r="A14" s="9" t="s">
        <v>56</v>
      </c>
      <c r="C14" s="16">
        <f>47+43</f>
        <v>90</v>
      </c>
      <c r="D14" s="19"/>
      <c r="E14" s="16">
        <f>205+182</f>
        <v>387</v>
      </c>
      <c r="F14" s="19"/>
      <c r="G14" s="16">
        <f>5+5</f>
        <v>10</v>
      </c>
      <c r="H14" s="19"/>
      <c r="I14" s="16">
        <f>2+1</f>
        <v>3</v>
      </c>
      <c r="J14" s="19"/>
      <c r="K14" s="16">
        <v>3</v>
      </c>
      <c r="L14" s="35"/>
      <c r="M14" s="60">
        <f>1+1</f>
        <v>2</v>
      </c>
      <c r="N14" s="19"/>
      <c r="O14" s="60">
        <v>1</v>
      </c>
      <c r="P14" s="19"/>
      <c r="Q14" s="60">
        <v>1</v>
      </c>
      <c r="R14" s="19"/>
      <c r="S14" s="60">
        <f>40+35</f>
        <v>75</v>
      </c>
      <c r="T14" s="19"/>
      <c r="U14" s="60">
        <f>210+193</f>
        <v>403</v>
      </c>
      <c r="V14" s="19"/>
      <c r="W14" s="60">
        <f>4+2</f>
        <v>6</v>
      </c>
      <c r="X14" s="19"/>
      <c r="Y14" s="60">
        <f>1+1</f>
        <v>2</v>
      </c>
      <c r="Z14" s="19"/>
      <c r="AA14" s="60">
        <v>2</v>
      </c>
      <c r="AB14" s="19"/>
      <c r="AC14" s="60">
        <v>2</v>
      </c>
      <c r="AD14" s="19"/>
      <c r="AE14" s="60">
        <f>49+37</f>
        <v>86</v>
      </c>
      <c r="AF14" s="19"/>
      <c r="AG14" s="60">
        <f>205+191</f>
        <v>396</v>
      </c>
      <c r="AH14" s="19"/>
      <c r="AI14" s="16" t="s">
        <v>108</v>
      </c>
      <c r="AJ14" s="19"/>
      <c r="AK14" s="16" t="s">
        <v>108</v>
      </c>
      <c r="AL14" s="19"/>
      <c r="AM14" s="16">
        <f>45+36</f>
        <v>81</v>
      </c>
      <c r="AN14" s="19"/>
      <c r="AO14" s="16">
        <f>53+38</f>
        <v>91</v>
      </c>
      <c r="AP14" s="19"/>
      <c r="AQ14" s="16">
        <f>202+188</f>
        <v>390</v>
      </c>
      <c r="AR14" s="19"/>
      <c r="AS14" s="16">
        <f>191+179</f>
        <v>370</v>
      </c>
      <c r="AT14" s="19"/>
      <c r="AU14" s="16">
        <f>156+150</f>
        <v>306</v>
      </c>
      <c r="AV14" s="19"/>
      <c r="AW14" s="16">
        <f>121+127</f>
        <v>248</v>
      </c>
      <c r="AX14" s="19"/>
      <c r="AY14" s="16">
        <f>101+92</f>
        <v>193</v>
      </c>
      <c r="AZ14" s="19"/>
      <c r="BA14" s="16">
        <f>89+72</f>
        <v>161</v>
      </c>
      <c r="BB14" s="19"/>
      <c r="BC14" s="16">
        <f>91+83</f>
        <v>174</v>
      </c>
      <c r="BD14" s="19"/>
      <c r="BE14" s="16">
        <f>102+111</f>
        <v>213</v>
      </c>
      <c r="BF14" s="19"/>
      <c r="BG14" s="16">
        <f>56+45</f>
        <v>101</v>
      </c>
      <c r="BH14" s="19"/>
      <c r="BI14" s="16">
        <f>125+114</f>
        <v>239</v>
      </c>
      <c r="BJ14" s="19"/>
      <c r="BK14" s="16">
        <f>44+44</f>
        <v>88</v>
      </c>
      <c r="BL14" s="19"/>
      <c r="BM14" s="16">
        <f>264+237</f>
        <v>501</v>
      </c>
      <c r="BO14" s="56"/>
      <c r="BQ14" s="56"/>
      <c r="BS14" s="56"/>
      <c r="BU14" s="55">
        <f t="shared" si="0"/>
        <v>501</v>
      </c>
      <c r="DA14" s="11"/>
      <c r="DB14" s="11"/>
    </row>
    <row r="15" spans="1:106" x14ac:dyDescent="0.2">
      <c r="A15" s="9" t="s">
        <v>57</v>
      </c>
      <c r="C15" s="16">
        <f>105+120</f>
        <v>225</v>
      </c>
      <c r="D15" s="19"/>
      <c r="E15" s="16">
        <f>123+127</f>
        <v>250</v>
      </c>
      <c r="F15" s="19"/>
      <c r="G15" s="16">
        <f>6+4</f>
        <v>10</v>
      </c>
      <c r="H15" s="19"/>
      <c r="I15" s="16">
        <f>1+3</f>
        <v>4</v>
      </c>
      <c r="J15" s="19"/>
      <c r="K15" s="16">
        <f>1+4</f>
        <v>5</v>
      </c>
      <c r="L15" s="19"/>
      <c r="M15" s="16">
        <f>2+1</f>
        <v>3</v>
      </c>
      <c r="N15" s="19"/>
      <c r="O15" s="16">
        <f>2+1</f>
        <v>3</v>
      </c>
      <c r="P15" s="19"/>
      <c r="Q15" s="16">
        <v>1</v>
      </c>
      <c r="R15" s="19"/>
      <c r="S15" s="16">
        <f>95+107</f>
        <v>202</v>
      </c>
      <c r="T15" s="19"/>
      <c r="U15" s="16">
        <f>135+141</f>
        <v>276</v>
      </c>
      <c r="V15" s="19"/>
      <c r="W15" s="16">
        <f>1+3</f>
        <v>4</v>
      </c>
      <c r="X15" s="19"/>
      <c r="Y15" s="16">
        <f>2+1</f>
        <v>3</v>
      </c>
      <c r="Z15" s="19"/>
      <c r="AA15" s="16">
        <f>3+4</f>
        <v>7</v>
      </c>
      <c r="AB15" s="19"/>
      <c r="AC15" s="16">
        <f>2+1</f>
        <v>3</v>
      </c>
      <c r="AD15" s="19"/>
      <c r="AE15" s="16">
        <f>109+126</f>
        <v>235</v>
      </c>
      <c r="AF15" s="19"/>
      <c r="AG15" s="16">
        <f>127+127</f>
        <v>254</v>
      </c>
      <c r="AH15" s="19"/>
      <c r="AI15" s="16">
        <f>99+118</f>
        <v>217</v>
      </c>
      <c r="AJ15" s="19"/>
      <c r="AK15" s="16">
        <f>135+135</f>
        <v>270</v>
      </c>
      <c r="AL15" s="19"/>
      <c r="AM15" s="16">
        <f>107+128</f>
        <v>235</v>
      </c>
      <c r="AN15" s="19"/>
      <c r="AO15" s="16">
        <f>112+125</f>
        <v>237</v>
      </c>
      <c r="AP15" s="19"/>
      <c r="AQ15" s="16">
        <f>128+129</f>
        <v>257</v>
      </c>
      <c r="AR15" s="19"/>
      <c r="AS15" s="16">
        <f>118+119</f>
        <v>237</v>
      </c>
      <c r="AT15" s="19"/>
      <c r="AU15" s="16">
        <f>159+172</f>
        <v>331</v>
      </c>
      <c r="AV15" s="19"/>
      <c r="AW15" s="16">
        <f>119+120</f>
        <v>239</v>
      </c>
      <c r="AX15" s="19"/>
      <c r="AY15" s="16">
        <f>132+142</f>
        <v>274</v>
      </c>
      <c r="AZ15" s="19"/>
      <c r="BA15" s="16">
        <f>90+107</f>
        <v>197</v>
      </c>
      <c r="BB15" s="19"/>
      <c r="BC15" s="16">
        <f>78+82</f>
        <v>160</v>
      </c>
      <c r="BD15" s="19"/>
      <c r="BE15" s="16">
        <f>76+88</f>
        <v>164</v>
      </c>
      <c r="BF15" s="19"/>
      <c r="BG15" s="16">
        <f>84+91</f>
        <v>175</v>
      </c>
      <c r="BH15" s="19"/>
      <c r="BI15" s="16">
        <f>78+79</f>
        <v>157</v>
      </c>
      <c r="BJ15" s="19"/>
      <c r="BK15" s="16">
        <f>93+103</f>
        <v>196</v>
      </c>
      <c r="BL15" s="19"/>
      <c r="BM15" s="16">
        <f>244+263</f>
        <v>507</v>
      </c>
      <c r="BO15" s="56"/>
      <c r="BQ15" s="56"/>
      <c r="BS15" s="56"/>
      <c r="BU15" s="55">
        <f t="shared" si="0"/>
        <v>507</v>
      </c>
      <c r="DA15" s="11"/>
      <c r="DB15" s="11"/>
    </row>
    <row r="16" spans="1:106" x14ac:dyDescent="0.2">
      <c r="A16" s="9" t="s">
        <v>58</v>
      </c>
      <c r="C16" s="16">
        <f>167+177</f>
        <v>344</v>
      </c>
      <c r="D16" s="19"/>
      <c r="E16" s="16">
        <f>128+120</f>
        <v>248</v>
      </c>
      <c r="F16" s="19"/>
      <c r="G16" s="16">
        <f>4+3</f>
        <v>7</v>
      </c>
      <c r="H16" s="19"/>
      <c r="I16" s="16">
        <f>2+1</f>
        <v>3</v>
      </c>
      <c r="J16" s="19"/>
      <c r="K16" s="16">
        <f>4+2</f>
        <v>6</v>
      </c>
      <c r="L16" s="19"/>
      <c r="M16" s="16">
        <f>2+2</f>
        <v>4</v>
      </c>
      <c r="N16" s="19"/>
      <c r="O16" s="16">
        <f>1+1</f>
        <v>2</v>
      </c>
      <c r="P16" s="19"/>
      <c r="Q16" s="16">
        <v>2</v>
      </c>
      <c r="R16" s="19"/>
      <c r="S16" s="16">
        <f>148+158</f>
        <v>306</v>
      </c>
      <c r="T16" s="19"/>
      <c r="U16" s="16">
        <f>154+144</f>
        <v>298</v>
      </c>
      <c r="V16" s="19"/>
      <c r="W16" s="16">
        <v>0</v>
      </c>
      <c r="X16" s="19"/>
      <c r="Y16" s="16">
        <f>2+1</f>
        <v>3</v>
      </c>
      <c r="Z16" s="19"/>
      <c r="AA16" s="16">
        <f>1+2</f>
        <v>3</v>
      </c>
      <c r="AB16" s="19"/>
      <c r="AC16" s="16">
        <f>1+2</f>
        <v>3</v>
      </c>
      <c r="AD16" s="19"/>
      <c r="AE16" s="16">
        <f>169+176</f>
        <v>345</v>
      </c>
      <c r="AF16" s="19"/>
      <c r="AG16" s="16">
        <f>131+128</f>
        <v>259</v>
      </c>
      <c r="AH16" s="19"/>
      <c r="AI16" s="16">
        <f>161+163</f>
        <v>324</v>
      </c>
      <c r="AJ16" s="19"/>
      <c r="AK16" s="16">
        <f>140+139</f>
        <v>279</v>
      </c>
      <c r="AL16" s="19"/>
      <c r="AM16" s="16">
        <f>165+172</f>
        <v>337</v>
      </c>
      <c r="AN16" s="35"/>
      <c r="AO16" s="16">
        <f>164+174</f>
        <v>338</v>
      </c>
      <c r="AP16" s="19"/>
      <c r="AQ16" s="16">
        <f>131+124</f>
        <v>255</v>
      </c>
      <c r="AR16" s="19"/>
      <c r="AS16" s="16">
        <f>131+127</f>
        <v>258</v>
      </c>
      <c r="AT16" s="19"/>
      <c r="AU16" s="16">
        <f>179+182</f>
        <v>361</v>
      </c>
      <c r="AV16" s="19"/>
      <c r="AW16" s="16">
        <f>144+159</f>
        <v>303</v>
      </c>
      <c r="AX16" s="19"/>
      <c r="AY16" s="16">
        <f>158+155</f>
        <v>313</v>
      </c>
      <c r="AZ16" s="19"/>
      <c r="BA16" s="16">
        <f>106+113</f>
        <v>219</v>
      </c>
      <c r="BB16" s="19"/>
      <c r="BC16" s="16">
        <f>90+116</f>
        <v>206</v>
      </c>
      <c r="BD16" s="19"/>
      <c r="BE16" s="16">
        <f>91+97</f>
        <v>188</v>
      </c>
      <c r="BF16" s="19"/>
      <c r="BG16" s="16">
        <f>99+102</f>
        <v>201</v>
      </c>
      <c r="BH16" s="19"/>
      <c r="BI16" s="16">
        <f>97+92</f>
        <v>189</v>
      </c>
      <c r="BJ16" s="19"/>
      <c r="BK16" s="16">
        <f>182+175</f>
        <v>357</v>
      </c>
      <c r="BL16" s="19"/>
      <c r="BM16" s="16">
        <f>313+312</f>
        <v>625</v>
      </c>
      <c r="BO16" s="56"/>
      <c r="BQ16" s="56"/>
      <c r="BS16" s="56"/>
      <c r="BU16" s="55">
        <f t="shared" si="0"/>
        <v>625</v>
      </c>
      <c r="DA16" s="11"/>
      <c r="DB16" s="11"/>
    </row>
    <row r="17" spans="1:106" s="10" customFormat="1" x14ac:dyDescent="0.2">
      <c r="A17" s="9" t="s">
        <v>60</v>
      </c>
      <c r="C17" s="16">
        <f>169+184</f>
        <v>353</v>
      </c>
      <c r="D17" s="19"/>
      <c r="E17" s="16">
        <f>195+170</f>
        <v>365</v>
      </c>
      <c r="F17" s="19"/>
      <c r="G17" s="16">
        <f>4+8</f>
        <v>12</v>
      </c>
      <c r="H17" s="19"/>
      <c r="I17" s="16">
        <f>2+2</f>
        <v>4</v>
      </c>
      <c r="J17" s="19"/>
      <c r="K17" s="16">
        <v>4</v>
      </c>
      <c r="L17" s="19"/>
      <c r="M17" s="16">
        <f>2+4</f>
        <v>6</v>
      </c>
      <c r="N17" s="19"/>
      <c r="O17" s="16">
        <f>4+1</f>
        <v>5</v>
      </c>
      <c r="P17" s="19"/>
      <c r="Q17" s="16">
        <v>1</v>
      </c>
      <c r="R17" s="19"/>
      <c r="S17" s="16">
        <f>138+148</f>
        <v>286</v>
      </c>
      <c r="T17" s="19"/>
      <c r="U17" s="16">
        <f>232+213</f>
        <v>445</v>
      </c>
      <c r="V17" s="19"/>
      <c r="W17" s="16">
        <f>2+1</f>
        <v>3</v>
      </c>
      <c r="X17" s="19"/>
      <c r="Y17" s="16">
        <f>3+1</f>
        <v>4</v>
      </c>
      <c r="Z17" s="19"/>
      <c r="AA17" s="16">
        <f>1+4</f>
        <v>5</v>
      </c>
      <c r="AB17" s="19"/>
      <c r="AC17" s="16">
        <f>3+1</f>
        <v>4</v>
      </c>
      <c r="AD17" s="19"/>
      <c r="AE17" s="16">
        <f>171+188</f>
        <v>359</v>
      </c>
      <c r="AF17" s="19"/>
      <c r="AG17" s="16">
        <f>200+175</f>
        <v>375</v>
      </c>
      <c r="AH17" s="19"/>
      <c r="AI17" s="16" t="s">
        <v>108</v>
      </c>
      <c r="AJ17" s="19"/>
      <c r="AK17" s="16"/>
      <c r="AL17" s="19"/>
      <c r="AM17" s="16">
        <f>174+187</f>
        <v>361</v>
      </c>
      <c r="AN17" s="19"/>
      <c r="AO17" s="16">
        <f>173+175</f>
        <v>348</v>
      </c>
      <c r="AP17" s="19"/>
      <c r="AQ17" s="16">
        <f>201+183</f>
        <v>384</v>
      </c>
      <c r="AR17" s="19"/>
      <c r="AS17" s="16">
        <f>188+171</f>
        <v>359</v>
      </c>
      <c r="AT17" s="19"/>
      <c r="AU17" s="16">
        <f>255+246</f>
        <v>501</v>
      </c>
      <c r="AV17" s="19"/>
      <c r="AW17" s="16">
        <f>188+187</f>
        <v>375</v>
      </c>
      <c r="AX17" s="19"/>
      <c r="AY17" s="16">
        <f>212+196</f>
        <v>408</v>
      </c>
      <c r="AZ17" s="19"/>
      <c r="BA17" s="16">
        <f>161+132</f>
        <v>293</v>
      </c>
      <c r="BB17" s="19"/>
      <c r="BC17" s="16">
        <f>170+156</f>
        <v>326</v>
      </c>
      <c r="BD17" s="19"/>
      <c r="BE17" s="16">
        <f>126+132</f>
        <v>258</v>
      </c>
      <c r="BF17" s="19"/>
      <c r="BG17" s="16">
        <f>146+121</f>
        <v>267</v>
      </c>
      <c r="BH17" s="19"/>
      <c r="BI17" s="16">
        <f>161+165</f>
        <v>326</v>
      </c>
      <c r="BJ17" s="19"/>
      <c r="BK17" s="16">
        <f>173+162</f>
        <v>335</v>
      </c>
      <c r="BL17" s="19"/>
      <c r="BM17" s="16">
        <f>385+377</f>
        <v>762</v>
      </c>
      <c r="BN17" s="20"/>
      <c r="BO17" s="56"/>
      <c r="BP17" s="42"/>
      <c r="BQ17" s="56"/>
      <c r="BR17" s="42"/>
      <c r="BS17" s="56"/>
      <c r="BT17" s="42"/>
      <c r="BU17" s="55">
        <f t="shared" si="0"/>
        <v>762</v>
      </c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</row>
    <row r="18" spans="1:106" x14ac:dyDescent="0.2">
      <c r="A18" s="9" t="s">
        <v>61</v>
      </c>
      <c r="C18" s="16">
        <f>196+165</f>
        <v>361</v>
      </c>
      <c r="D18" s="19"/>
      <c r="E18" s="16">
        <f>112+148</f>
        <v>260</v>
      </c>
      <c r="F18" s="19"/>
      <c r="G18" s="16">
        <f>4+3</f>
        <v>7</v>
      </c>
      <c r="H18" s="19"/>
      <c r="I18" s="16">
        <v>2</v>
      </c>
      <c r="J18" s="19"/>
      <c r="K18" s="16">
        <f>1+4</f>
        <v>5</v>
      </c>
      <c r="L18" s="19"/>
      <c r="M18" s="16">
        <f>1+1</f>
        <v>2</v>
      </c>
      <c r="N18" s="19"/>
      <c r="O18" s="16">
        <v>0</v>
      </c>
      <c r="P18" s="19"/>
      <c r="Q18" s="16">
        <f>5+1</f>
        <v>6</v>
      </c>
      <c r="R18" s="19"/>
      <c r="S18" s="16">
        <f>153+130</f>
        <v>283</v>
      </c>
      <c r="T18" s="19"/>
      <c r="U18" s="16">
        <f>159+186</f>
        <v>345</v>
      </c>
      <c r="V18" s="19"/>
      <c r="W18" s="16">
        <v>1</v>
      </c>
      <c r="X18" s="19"/>
      <c r="Y18" s="16">
        <v>2</v>
      </c>
      <c r="Z18" s="19"/>
      <c r="AA18" s="16">
        <v>4</v>
      </c>
      <c r="AB18" s="19"/>
      <c r="AC18" s="16">
        <v>0</v>
      </c>
      <c r="AD18" s="19"/>
      <c r="AE18" s="16">
        <f>200+173</f>
        <v>373</v>
      </c>
      <c r="AF18" s="19"/>
      <c r="AG18" s="16">
        <f>110+143</f>
        <v>253</v>
      </c>
      <c r="AH18" s="19"/>
      <c r="AI18" s="16" t="s">
        <v>108</v>
      </c>
      <c r="AJ18" s="19"/>
      <c r="AK18" s="16" t="s">
        <v>108</v>
      </c>
      <c r="AL18" s="19"/>
      <c r="AM18" s="16">
        <f>185+167</f>
        <v>352</v>
      </c>
      <c r="AN18" s="19"/>
      <c r="AO18" s="16">
        <f>184+162</f>
        <v>346</v>
      </c>
      <c r="AP18" s="19"/>
      <c r="AQ18" s="16">
        <f>124+160</f>
        <v>284</v>
      </c>
      <c r="AR18" s="19"/>
      <c r="AS18" s="16">
        <f>119+144</f>
        <v>263</v>
      </c>
      <c r="AT18" s="19"/>
      <c r="AU18" s="16">
        <f>202+217</f>
        <v>419</v>
      </c>
      <c r="AV18" s="19"/>
      <c r="AW18" s="16">
        <f>139+160</f>
        <v>299</v>
      </c>
      <c r="AX18" s="19"/>
      <c r="AY18" s="16">
        <f>200+219</f>
        <v>419</v>
      </c>
      <c r="AZ18" s="19"/>
      <c r="BA18" s="16">
        <f>132+151</f>
        <v>283</v>
      </c>
      <c r="BB18" s="19"/>
      <c r="BC18" s="16">
        <f>131+149</f>
        <v>280</v>
      </c>
      <c r="BD18" s="19"/>
      <c r="BE18" s="16">
        <f>72+95</f>
        <v>167</v>
      </c>
      <c r="BF18" s="19"/>
      <c r="BG18" s="16">
        <f>143+149</f>
        <v>292</v>
      </c>
      <c r="BH18" s="19"/>
      <c r="BI18" s="16">
        <f>96+122</f>
        <v>218</v>
      </c>
      <c r="BJ18" s="19"/>
      <c r="BK18" s="16">
        <f>189+176</f>
        <v>365</v>
      </c>
      <c r="BL18" s="19"/>
      <c r="BM18" s="16">
        <f>325+325</f>
        <v>650</v>
      </c>
      <c r="BO18" s="56"/>
      <c r="BQ18" s="56"/>
      <c r="BS18" s="56"/>
      <c r="BU18" s="55">
        <f t="shared" si="0"/>
        <v>650</v>
      </c>
      <c r="DA18" s="11"/>
      <c r="DB18" s="11"/>
    </row>
    <row r="19" spans="1:106" x14ac:dyDescent="0.2">
      <c r="A19" s="9" t="s">
        <v>62</v>
      </c>
      <c r="C19" s="16">
        <f>196+170</f>
        <v>366</v>
      </c>
      <c r="D19" s="19"/>
      <c r="E19" s="16">
        <f>192+193</f>
        <v>385</v>
      </c>
      <c r="F19" s="19"/>
      <c r="G19" s="16">
        <f>4+7</f>
        <v>11</v>
      </c>
      <c r="H19" s="19"/>
      <c r="I19" s="16">
        <f>1+3</f>
        <v>4</v>
      </c>
      <c r="J19" s="19"/>
      <c r="K19" s="16">
        <f>1+3</f>
        <v>4</v>
      </c>
      <c r="L19" s="19"/>
      <c r="M19" s="16">
        <f>3+6</f>
        <v>9</v>
      </c>
      <c r="N19" s="19"/>
      <c r="O19" s="16">
        <v>2</v>
      </c>
      <c r="P19" s="19"/>
      <c r="Q19" s="16">
        <v>0</v>
      </c>
      <c r="R19" s="19"/>
      <c r="S19" s="16">
        <f>164+152</f>
        <v>316</v>
      </c>
      <c r="T19" s="19"/>
      <c r="U19" s="16">
        <f>220+222</f>
        <v>442</v>
      </c>
      <c r="V19" s="19"/>
      <c r="W19" s="16">
        <f>6+2</f>
        <v>8</v>
      </c>
      <c r="X19" s="19"/>
      <c r="Y19" s="16">
        <v>0</v>
      </c>
      <c r="Z19" s="19"/>
      <c r="AA19" s="16">
        <f>2+3</f>
        <v>5</v>
      </c>
      <c r="AB19" s="19"/>
      <c r="AC19" s="16">
        <f>1+2</f>
        <v>3</v>
      </c>
      <c r="AD19" s="19"/>
      <c r="AE19" s="16">
        <f>201+179</f>
        <v>380</v>
      </c>
      <c r="AF19" s="19"/>
      <c r="AG19" s="16">
        <f>189+202</f>
        <v>391</v>
      </c>
      <c r="AH19" s="19"/>
      <c r="AI19" s="16"/>
      <c r="AJ19" s="19"/>
      <c r="AK19" s="16"/>
      <c r="AL19" s="19"/>
      <c r="AM19" s="16">
        <f>192+176</f>
        <v>368</v>
      </c>
      <c r="AN19" s="19"/>
      <c r="AO19" s="16">
        <f>195+172</f>
        <v>367</v>
      </c>
      <c r="AP19" s="19"/>
      <c r="AQ19" s="16">
        <f>194+205</f>
        <v>399</v>
      </c>
      <c r="AR19" s="19"/>
      <c r="AS19" s="16">
        <f>187+197</f>
        <v>384</v>
      </c>
      <c r="AT19" s="19"/>
      <c r="AU19" s="16">
        <f>272+264</f>
        <v>536</v>
      </c>
      <c r="AV19" s="19"/>
      <c r="AW19" s="16">
        <f>204+218</f>
        <v>422</v>
      </c>
      <c r="AX19" s="19"/>
      <c r="AY19" s="16">
        <f>209+215</f>
        <v>424</v>
      </c>
      <c r="AZ19" s="19"/>
      <c r="BA19" s="16">
        <f>154+163</f>
        <v>317</v>
      </c>
      <c r="BB19" s="19"/>
      <c r="BC19" s="16">
        <f>161+143</f>
        <v>304</v>
      </c>
      <c r="BD19" s="19"/>
      <c r="BE19" s="16">
        <f>136+164</f>
        <v>300</v>
      </c>
      <c r="BF19" s="19"/>
      <c r="BG19" s="16">
        <f>144+119</f>
        <v>263</v>
      </c>
      <c r="BH19" s="19"/>
      <c r="BI19" s="16">
        <f>166+188</f>
        <v>354</v>
      </c>
      <c r="BJ19" s="19"/>
      <c r="BK19" s="16">
        <f>184+162</f>
        <v>346</v>
      </c>
      <c r="BL19" s="19"/>
      <c r="BM19" s="16">
        <f>403+392</f>
        <v>795</v>
      </c>
      <c r="BO19" s="56"/>
      <c r="BQ19" s="56"/>
      <c r="BS19" s="56"/>
      <c r="BU19" s="55">
        <f t="shared" si="0"/>
        <v>795</v>
      </c>
      <c r="DA19" s="11"/>
      <c r="DB19" s="11"/>
    </row>
    <row r="20" spans="1:106" x14ac:dyDescent="0.2">
      <c r="A20" s="9" t="s">
        <v>63</v>
      </c>
      <c r="C20" s="16">
        <f>216+184</f>
        <v>400</v>
      </c>
      <c r="D20" s="19"/>
      <c r="E20" s="16">
        <f>136+158</f>
        <v>294</v>
      </c>
      <c r="F20" s="19"/>
      <c r="G20" s="16">
        <f>2+6</f>
        <v>8</v>
      </c>
      <c r="H20" s="19"/>
      <c r="I20" s="16">
        <f>1+3</f>
        <v>4</v>
      </c>
      <c r="J20" s="19"/>
      <c r="K20" s="16">
        <f>2+3</f>
        <v>5</v>
      </c>
      <c r="L20" s="19"/>
      <c r="M20" s="16">
        <f>2+1</f>
        <v>3</v>
      </c>
      <c r="N20" s="19"/>
      <c r="O20" s="16">
        <v>2</v>
      </c>
      <c r="P20" s="19"/>
      <c r="Q20" s="16">
        <v>2</v>
      </c>
      <c r="R20" s="19"/>
      <c r="S20" s="16">
        <f>166+156</f>
        <v>322</v>
      </c>
      <c r="T20" s="19"/>
      <c r="U20" s="16">
        <f>181+193</f>
        <v>374</v>
      </c>
      <c r="V20" s="19"/>
      <c r="W20" s="16">
        <f>4+4</f>
        <v>8</v>
      </c>
      <c r="X20" s="19"/>
      <c r="Y20" s="16">
        <f>2+3</f>
        <v>5</v>
      </c>
      <c r="Z20" s="19"/>
      <c r="AA20" s="16">
        <f>7+1</f>
        <v>8</v>
      </c>
      <c r="AB20" s="19"/>
      <c r="AC20" s="16">
        <v>0</v>
      </c>
      <c r="AD20" s="19"/>
      <c r="AE20" s="16">
        <f>213+189</f>
        <v>402</v>
      </c>
      <c r="AF20" s="19"/>
      <c r="AG20" s="16">
        <f>141+161</f>
        <v>302</v>
      </c>
      <c r="AH20" s="19"/>
      <c r="AI20" s="16"/>
      <c r="AJ20" s="19"/>
      <c r="AK20" s="16"/>
      <c r="AL20" s="19"/>
      <c r="AM20" s="16">
        <f>194+169</f>
        <v>363</v>
      </c>
      <c r="AN20" s="19"/>
      <c r="AO20" s="16">
        <f>190+173</f>
        <v>363</v>
      </c>
      <c r="AP20" s="19"/>
      <c r="AQ20" s="16">
        <f>155+164</f>
        <v>319</v>
      </c>
      <c r="AR20" s="19"/>
      <c r="AS20" s="16">
        <f>153+160</f>
        <v>313</v>
      </c>
      <c r="AT20" s="35"/>
      <c r="AU20" s="16">
        <f>217+214</f>
        <v>431</v>
      </c>
      <c r="AV20" s="19"/>
      <c r="AW20" s="16">
        <f>167+161</f>
        <v>328</v>
      </c>
      <c r="AX20" s="19"/>
      <c r="AY20" s="16">
        <f>157+150</f>
        <v>307</v>
      </c>
      <c r="AZ20" s="19"/>
      <c r="BA20" s="16">
        <f>137+103</f>
        <v>240</v>
      </c>
      <c r="BB20" s="19"/>
      <c r="BC20" s="16">
        <f>129+130</f>
        <v>259</v>
      </c>
      <c r="BD20" s="19"/>
      <c r="BE20" s="16">
        <f>118+114</f>
        <v>232</v>
      </c>
      <c r="BF20" s="19"/>
      <c r="BG20" s="16">
        <f>102+110</f>
        <v>212</v>
      </c>
      <c r="BH20" s="19"/>
      <c r="BI20" s="16">
        <f>150+159</f>
        <v>309</v>
      </c>
      <c r="BJ20" s="19"/>
      <c r="BK20" s="16">
        <f>160+158</f>
        <v>318</v>
      </c>
      <c r="BL20" s="19"/>
      <c r="BM20" s="16">
        <f>367+368</f>
        <v>735</v>
      </c>
      <c r="BO20" s="56"/>
      <c r="BQ20" s="56"/>
      <c r="BS20" s="56"/>
      <c r="BU20" s="55">
        <f>+SUM(BM20:BS20)</f>
        <v>735</v>
      </c>
      <c r="DA20" s="11"/>
      <c r="DB20" s="11"/>
    </row>
    <row r="21" spans="1:106" x14ac:dyDescent="0.2">
      <c r="A21" s="9" t="s">
        <v>64</v>
      </c>
      <c r="C21" s="16">
        <f>94+96</f>
        <v>190</v>
      </c>
      <c r="D21" s="19"/>
      <c r="E21" s="16">
        <f>226+218</f>
        <v>444</v>
      </c>
      <c r="F21" s="19"/>
      <c r="G21" s="16">
        <f>15+15</f>
        <v>30</v>
      </c>
      <c r="H21" s="19"/>
      <c r="I21" s="16">
        <f>1+3</f>
        <v>4</v>
      </c>
      <c r="J21" s="19"/>
      <c r="K21" s="16">
        <f>2+2</f>
        <v>4</v>
      </c>
      <c r="L21" s="19"/>
      <c r="M21" s="16">
        <f>2+1</f>
        <v>3</v>
      </c>
      <c r="N21" s="19"/>
      <c r="O21" s="16">
        <v>0</v>
      </c>
      <c r="P21" s="19"/>
      <c r="Q21" s="16">
        <v>0</v>
      </c>
      <c r="R21" s="19"/>
      <c r="S21" s="16">
        <f>80+87</f>
        <v>167</v>
      </c>
      <c r="T21" s="19"/>
      <c r="U21" s="16">
        <f>249+241</f>
        <v>490</v>
      </c>
      <c r="V21" s="19"/>
      <c r="W21" s="16">
        <f>2+2</f>
        <v>4</v>
      </c>
      <c r="X21" s="19"/>
      <c r="Y21" s="16">
        <f>1+2</f>
        <v>3</v>
      </c>
      <c r="Z21" s="19"/>
      <c r="AA21" s="16">
        <f>1+1</f>
        <v>2</v>
      </c>
      <c r="AB21" s="19"/>
      <c r="AC21" s="16">
        <f>3+2</f>
        <v>5</v>
      </c>
      <c r="AD21" s="19"/>
      <c r="AE21" s="16">
        <f>92+96</f>
        <v>188</v>
      </c>
      <c r="AF21" s="19"/>
      <c r="AG21" s="16">
        <f>235+230</f>
        <v>465</v>
      </c>
      <c r="AH21" s="19"/>
      <c r="AI21" s="16" t="s">
        <v>108</v>
      </c>
      <c r="AJ21" s="19"/>
      <c r="AK21" s="16" t="s">
        <v>108</v>
      </c>
      <c r="AL21" s="19"/>
      <c r="AM21" s="16">
        <f>92+99</f>
        <v>191</v>
      </c>
      <c r="AN21" s="19"/>
      <c r="AO21" s="16">
        <f>92+107</f>
        <v>199</v>
      </c>
      <c r="AP21" s="19"/>
      <c r="AQ21" s="16">
        <f>232+220</f>
        <v>452</v>
      </c>
      <c r="AR21" s="19"/>
      <c r="AS21" s="16">
        <f>217+210</f>
        <v>427</v>
      </c>
      <c r="AT21" s="19"/>
      <c r="AU21" s="16">
        <f>190+216</f>
        <v>406</v>
      </c>
      <c r="AV21" s="19"/>
      <c r="AW21" s="16">
        <f>148+157</f>
        <v>305</v>
      </c>
      <c r="AX21" s="19"/>
      <c r="AY21" s="16">
        <f>136+160</f>
        <v>296</v>
      </c>
      <c r="AZ21" s="19"/>
      <c r="BA21" s="16">
        <f>116+127</f>
        <v>243</v>
      </c>
      <c r="BB21" s="19"/>
      <c r="BC21" s="16">
        <f>108+122</f>
        <v>230</v>
      </c>
      <c r="BD21" s="19"/>
      <c r="BE21" s="16">
        <f>112+130</f>
        <v>242</v>
      </c>
      <c r="BF21" s="19"/>
      <c r="BG21" s="16">
        <f>90+90</f>
        <v>180</v>
      </c>
      <c r="BH21" s="19"/>
      <c r="BI21" s="16">
        <f>118+136</f>
        <v>254</v>
      </c>
      <c r="BJ21" s="19"/>
      <c r="BK21" s="16">
        <f>94+92</f>
        <v>186</v>
      </c>
      <c r="BL21" s="19"/>
      <c r="BM21" s="16">
        <f>345+341</f>
        <v>686</v>
      </c>
      <c r="BO21" s="56"/>
      <c r="BQ21" s="56"/>
      <c r="BS21" s="56"/>
      <c r="BU21" s="55">
        <f>+SUM(BM21:BS21)</f>
        <v>686</v>
      </c>
      <c r="DA21" s="11"/>
      <c r="DB21" s="11"/>
    </row>
    <row r="22" spans="1:106" x14ac:dyDescent="0.2">
      <c r="A22" s="9" t="s">
        <v>65</v>
      </c>
      <c r="C22" s="16">
        <f>141+153</f>
        <v>294</v>
      </c>
      <c r="D22" s="19"/>
      <c r="E22" s="16">
        <f>89+103</f>
        <v>192</v>
      </c>
      <c r="F22" s="19"/>
      <c r="G22" s="16">
        <f>3+1</f>
        <v>4</v>
      </c>
      <c r="H22" s="19"/>
      <c r="I22" s="16">
        <f>2+1</f>
        <v>3</v>
      </c>
      <c r="J22" s="19"/>
      <c r="K22" s="16">
        <f>1+5</f>
        <v>6</v>
      </c>
      <c r="L22" s="19"/>
      <c r="M22" s="16">
        <f>1+3</f>
        <v>4</v>
      </c>
      <c r="N22" s="19"/>
      <c r="O22" s="16">
        <v>2</v>
      </c>
      <c r="P22" s="19"/>
      <c r="Q22" s="16">
        <v>1</v>
      </c>
      <c r="R22" s="19"/>
      <c r="S22" s="16">
        <f>109+129</f>
        <v>238</v>
      </c>
      <c r="T22" s="19"/>
      <c r="U22" s="16">
        <f>122+138</f>
        <v>260</v>
      </c>
      <c r="V22" s="19"/>
      <c r="W22" s="16">
        <v>2</v>
      </c>
      <c r="X22" s="19"/>
      <c r="Y22" s="16">
        <f>2+1</f>
        <v>3</v>
      </c>
      <c r="Z22" s="19"/>
      <c r="AA22" s="16">
        <v>1</v>
      </c>
      <c r="AB22" s="19"/>
      <c r="AC22" s="16">
        <v>0</v>
      </c>
      <c r="AD22" s="19"/>
      <c r="AE22" s="16">
        <f>139+153</f>
        <v>292</v>
      </c>
      <c r="AF22" s="19"/>
      <c r="AG22" s="16">
        <f>93+107</f>
        <v>200</v>
      </c>
      <c r="AH22" s="19"/>
      <c r="AI22" s="16">
        <f>137+142</f>
        <v>279</v>
      </c>
      <c r="AJ22" s="19"/>
      <c r="AK22" s="16">
        <f>96+120</f>
        <v>216</v>
      </c>
      <c r="AL22" s="19"/>
      <c r="AM22" s="16">
        <f>145+145</f>
        <v>290</v>
      </c>
      <c r="AN22" s="19"/>
      <c r="AO22" s="16">
        <f>141+141</f>
        <v>282</v>
      </c>
      <c r="AP22" s="19"/>
      <c r="AQ22" s="16">
        <f>88+122</f>
        <v>210</v>
      </c>
      <c r="AR22" s="19"/>
      <c r="AS22" s="16">
        <f>91+117</f>
        <v>208</v>
      </c>
      <c r="AT22" s="19"/>
      <c r="AU22" s="16">
        <f>144+168</f>
        <v>312</v>
      </c>
      <c r="AV22" s="19"/>
      <c r="AW22" s="16">
        <f>114+133</f>
        <v>247</v>
      </c>
      <c r="AX22" s="19"/>
      <c r="AY22" s="16">
        <f>135+156</f>
        <v>291</v>
      </c>
      <c r="AZ22" s="19"/>
      <c r="BA22" s="16">
        <f>104+106</f>
        <v>210</v>
      </c>
      <c r="BB22" s="19"/>
      <c r="BC22" s="16">
        <f>92+117</f>
        <v>209</v>
      </c>
      <c r="BD22" s="19"/>
      <c r="BE22" s="16">
        <f>72+81</f>
        <v>153</v>
      </c>
      <c r="BF22" s="19"/>
      <c r="BG22" s="16">
        <f>85+102</f>
        <v>187</v>
      </c>
      <c r="BH22" s="19"/>
      <c r="BI22" s="16">
        <f>96+98</f>
        <v>194</v>
      </c>
      <c r="BJ22" s="19"/>
      <c r="BK22" s="16">
        <f>110+142</f>
        <v>252</v>
      </c>
      <c r="BL22" s="19"/>
      <c r="BM22" s="16">
        <f>241+272</f>
        <v>513</v>
      </c>
      <c r="BO22" s="56"/>
      <c r="BQ22" s="56"/>
      <c r="BS22" s="56"/>
      <c r="BU22" s="55">
        <f>+SUM(BM22:BS22)</f>
        <v>513</v>
      </c>
      <c r="DA22" s="11"/>
      <c r="DB22" s="11"/>
    </row>
    <row r="23" spans="1:106" x14ac:dyDescent="0.2">
      <c r="A23" s="61" t="s">
        <v>66</v>
      </c>
      <c r="C23" s="16">
        <f>168+181</f>
        <v>349</v>
      </c>
      <c r="D23" s="19"/>
      <c r="E23" s="16">
        <f>211+200</f>
        <v>411</v>
      </c>
      <c r="F23" s="19"/>
      <c r="G23" s="16">
        <f>8+5</f>
        <v>13</v>
      </c>
      <c r="H23" s="19"/>
      <c r="I23" s="16">
        <v>2</v>
      </c>
      <c r="J23" s="19"/>
      <c r="K23" s="16">
        <v>2</v>
      </c>
      <c r="L23" s="19"/>
      <c r="M23" s="16">
        <f>1+3</f>
        <v>4</v>
      </c>
      <c r="N23" s="19"/>
      <c r="O23" s="16">
        <v>2</v>
      </c>
      <c r="P23" s="19"/>
      <c r="Q23" s="16">
        <v>0</v>
      </c>
      <c r="R23" s="19"/>
      <c r="S23" s="16">
        <f>140+166</f>
        <v>306</v>
      </c>
      <c r="T23" s="19"/>
      <c r="U23" s="16">
        <f>246+221</f>
        <v>467</v>
      </c>
      <c r="V23" s="19"/>
      <c r="W23" s="16">
        <f>2+1</f>
        <v>3</v>
      </c>
      <c r="X23" s="19"/>
      <c r="Y23" s="16">
        <f>2+2</f>
        <v>4</v>
      </c>
      <c r="Z23" s="19"/>
      <c r="AA23" s="16">
        <v>3</v>
      </c>
      <c r="AB23" s="19"/>
      <c r="AC23" s="16">
        <f>1+1</f>
        <v>2</v>
      </c>
      <c r="AD23" s="19"/>
      <c r="AE23" s="16">
        <f>173+179</f>
        <v>352</v>
      </c>
      <c r="AF23" s="19"/>
      <c r="AG23" s="16">
        <f>213+208</f>
        <v>421</v>
      </c>
      <c r="AH23" s="19"/>
      <c r="AI23" s="16"/>
      <c r="AJ23" s="19"/>
      <c r="AK23" s="16"/>
      <c r="AL23" s="19"/>
      <c r="AM23" s="16">
        <f>178+190</f>
        <v>368</v>
      </c>
      <c r="AN23" s="19"/>
      <c r="AO23" s="16">
        <f>179+189</f>
        <v>368</v>
      </c>
      <c r="AP23" s="19"/>
      <c r="AQ23" s="16">
        <f>214+194</f>
        <v>408</v>
      </c>
      <c r="AR23" s="19"/>
      <c r="AS23" s="16">
        <f>152+183</f>
        <v>335</v>
      </c>
      <c r="AT23" s="19"/>
      <c r="AU23" s="16">
        <f>262+249</f>
        <v>511</v>
      </c>
      <c r="AV23" s="19"/>
      <c r="AW23" s="16">
        <f>206+179</f>
        <v>385</v>
      </c>
      <c r="AX23" s="19"/>
      <c r="AY23" s="16">
        <f>192+167</f>
        <v>359</v>
      </c>
      <c r="AZ23" s="19"/>
      <c r="BA23" s="16">
        <f>139+125</f>
        <v>264</v>
      </c>
      <c r="BB23" s="19"/>
      <c r="BC23" s="16">
        <f>128+130</f>
        <v>258</v>
      </c>
      <c r="BD23" s="19"/>
      <c r="BE23" s="16">
        <f>154+120</f>
        <v>274</v>
      </c>
      <c r="BF23" s="19"/>
      <c r="BG23" s="16">
        <f>106+124</f>
        <v>230</v>
      </c>
      <c r="BH23" s="19"/>
      <c r="BI23" s="16">
        <f>129+132</f>
        <v>261</v>
      </c>
      <c r="BJ23" s="19"/>
      <c r="BK23" s="16">
        <f>158+165</f>
        <v>323</v>
      </c>
      <c r="BL23" s="19"/>
      <c r="BM23" s="16">
        <f>394+400</f>
        <v>794</v>
      </c>
      <c r="BO23" s="56"/>
      <c r="BQ23" s="56"/>
      <c r="BS23" s="56"/>
      <c r="BU23" s="55">
        <f>+SUM(BM23:BS23)</f>
        <v>794</v>
      </c>
      <c r="DA23" s="11"/>
      <c r="DB23" s="11"/>
    </row>
    <row r="24" spans="1:106" ht="13.5" thickBot="1" x14ac:dyDescent="0.25"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DA24" s="11"/>
      <c r="DB24" s="11"/>
    </row>
    <row r="25" spans="1:106" s="48" customFormat="1" ht="13.5" thickBot="1" x14ac:dyDescent="0.25">
      <c r="A25" s="3" t="s">
        <v>24</v>
      </c>
      <c r="C25" s="41">
        <f>+SUM(C10:C23)</f>
        <v>3979</v>
      </c>
      <c r="D25" s="57"/>
      <c r="E25" s="41">
        <f>+SUM(E10:E23)</f>
        <v>3951</v>
      </c>
      <c r="F25" s="57"/>
      <c r="G25" s="41">
        <f>+SUM(G10:G23)</f>
        <v>149</v>
      </c>
      <c r="H25" s="57"/>
      <c r="I25" s="41">
        <f>+SUM(I10:I23)</f>
        <v>40</v>
      </c>
      <c r="J25" s="57"/>
      <c r="K25" s="41">
        <f>+SUM(K10:K23)</f>
        <v>61</v>
      </c>
      <c r="L25" s="57"/>
      <c r="M25" s="41">
        <f>+SUM(M10:M23)</f>
        <v>50</v>
      </c>
      <c r="N25" s="57"/>
      <c r="O25" s="41">
        <f>+SUM(O10:O23)</f>
        <v>20</v>
      </c>
      <c r="P25" s="57"/>
      <c r="Q25" s="41">
        <f>+SUM(Q10:Q23)</f>
        <v>22</v>
      </c>
      <c r="R25" s="57"/>
      <c r="S25" s="41">
        <f>+SUM(S10:S23)</f>
        <v>3379</v>
      </c>
      <c r="T25" s="57"/>
      <c r="U25" s="41">
        <f>+SUM(U10:U23)</f>
        <v>4675</v>
      </c>
      <c r="V25" s="57"/>
      <c r="W25" s="41">
        <f>+SUM(W10:W23)</f>
        <v>53</v>
      </c>
      <c r="X25" s="57"/>
      <c r="Y25" s="41">
        <f>+SUM(Y10:Y23)</f>
        <v>36</v>
      </c>
      <c r="Z25" s="57"/>
      <c r="AA25" s="41">
        <f>+SUM(AA10:AA23)</f>
        <v>54</v>
      </c>
      <c r="AB25" s="57"/>
      <c r="AC25" s="41">
        <f>+SUM(AC10:AC23)</f>
        <v>28</v>
      </c>
      <c r="AD25" s="57"/>
      <c r="AE25" s="41">
        <f>+SUM(AE10:AE23)</f>
        <v>4043</v>
      </c>
      <c r="AF25" s="57"/>
      <c r="AG25" s="41">
        <f>+SUM(AG10:AG23)</f>
        <v>4061</v>
      </c>
      <c r="AH25" s="57"/>
      <c r="AI25" s="41">
        <f>+SUM(AI10:AI23)</f>
        <v>1790</v>
      </c>
      <c r="AJ25" s="57"/>
      <c r="AK25" s="41">
        <f>+SUM(AK10:AK23)</f>
        <v>1566</v>
      </c>
      <c r="AL25" s="57"/>
      <c r="AM25" s="41">
        <f>+SUM(AM10:AM23)</f>
        <v>3967</v>
      </c>
      <c r="AN25" s="57"/>
      <c r="AO25" s="41">
        <f>+SUM(AO10:AO23)</f>
        <v>3954</v>
      </c>
      <c r="AP25" s="57"/>
      <c r="AQ25" s="41">
        <f>+SUM(AQ10:AQ23)</f>
        <v>4122</v>
      </c>
      <c r="AR25" s="57"/>
      <c r="AS25" s="41">
        <f>+SUM(AS10:AS23)</f>
        <v>3865</v>
      </c>
      <c r="AT25" s="57"/>
      <c r="AU25" s="41">
        <f>+SUM(AU10:AU23)</f>
        <v>5294</v>
      </c>
      <c r="AV25" s="57"/>
      <c r="AW25" s="41">
        <f>+SUM(AW10:AW23)</f>
        <v>4009</v>
      </c>
      <c r="AX25" s="57"/>
      <c r="AY25" s="41">
        <f>+SUM(AY10:AY23)</f>
        <v>4318</v>
      </c>
      <c r="AZ25" s="57"/>
      <c r="BA25" s="41">
        <f>+SUM(BA10:BA23)</f>
        <v>3131</v>
      </c>
      <c r="BB25" s="57"/>
      <c r="BC25" s="41">
        <f>+SUM(BC10:BC23)</f>
        <v>3145</v>
      </c>
      <c r="BD25" s="57"/>
      <c r="BE25" s="41">
        <f>+SUM(BE10:BE23)</f>
        <v>2719</v>
      </c>
      <c r="BF25" s="57"/>
      <c r="BG25" s="41">
        <f>+SUM(BG10:BG23)</f>
        <v>2831</v>
      </c>
      <c r="BH25" s="57"/>
      <c r="BI25" s="41">
        <f>+SUM(BI10:BI23)</f>
        <v>3107</v>
      </c>
      <c r="BJ25" s="57"/>
      <c r="BK25" s="41">
        <f>+SUM(BK10:BK23)</f>
        <v>3757</v>
      </c>
      <c r="BL25" s="57"/>
      <c r="BM25" s="41">
        <f>+SUM(BM11:BM23)</f>
        <v>8393</v>
      </c>
      <c r="BN25" s="42"/>
      <c r="BO25" s="41">
        <f>+SUM(BO11:BO23)</f>
        <v>1053</v>
      </c>
      <c r="BP25" s="42"/>
      <c r="BQ25" s="41">
        <f>+SUM(BQ11:BQ23)</f>
        <v>184</v>
      </c>
      <c r="BR25" s="42"/>
      <c r="BS25" s="41">
        <f>+SUM(BS11:BS23)</f>
        <v>0</v>
      </c>
      <c r="BT25" s="42"/>
      <c r="BU25" s="41">
        <f>+SUM(BU11:BU23)</f>
        <v>9630</v>
      </c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</row>
    <row r="26" spans="1:106" x14ac:dyDescent="0.2">
      <c r="A26" s="36" t="s">
        <v>73</v>
      </c>
      <c r="C26" s="19">
        <v>444</v>
      </c>
      <c r="D26" s="19"/>
      <c r="E26" s="19">
        <v>522</v>
      </c>
      <c r="F26" s="19"/>
      <c r="G26" s="19">
        <v>15</v>
      </c>
      <c r="H26" s="19"/>
      <c r="I26" s="19">
        <v>5</v>
      </c>
      <c r="J26" s="19"/>
      <c r="K26" s="19">
        <v>10</v>
      </c>
      <c r="L26" s="19"/>
      <c r="M26" s="19">
        <v>10</v>
      </c>
      <c r="N26" s="19"/>
      <c r="O26" s="19">
        <v>2</v>
      </c>
      <c r="P26" s="19"/>
      <c r="Q26" s="19">
        <v>5</v>
      </c>
      <c r="R26" s="19"/>
      <c r="S26" s="19">
        <v>367</v>
      </c>
      <c r="T26" s="19"/>
      <c r="U26" s="19">
        <v>627</v>
      </c>
      <c r="V26" s="19"/>
      <c r="W26" s="19">
        <v>8</v>
      </c>
      <c r="X26" s="19"/>
      <c r="Y26" s="19">
        <v>5</v>
      </c>
      <c r="Z26" s="19"/>
      <c r="AA26" s="19">
        <v>8</v>
      </c>
      <c r="AB26" s="19"/>
      <c r="AC26" s="19">
        <v>7</v>
      </c>
      <c r="AD26" s="19"/>
      <c r="AE26" s="19">
        <v>437</v>
      </c>
      <c r="AF26" s="19"/>
      <c r="AG26" s="19">
        <v>587</v>
      </c>
      <c r="AH26" s="19"/>
      <c r="AI26" s="19">
        <v>172</v>
      </c>
      <c r="AJ26" s="19"/>
      <c r="AK26" s="19">
        <v>217</v>
      </c>
      <c r="AL26" s="19"/>
      <c r="AM26" s="19">
        <v>480</v>
      </c>
      <c r="AN26" s="19"/>
      <c r="AO26" s="19">
        <v>460</v>
      </c>
      <c r="AP26" s="19"/>
      <c r="AQ26" s="19">
        <v>541</v>
      </c>
      <c r="AR26" s="19"/>
      <c r="AS26" s="19">
        <v>533</v>
      </c>
      <c r="AT26" s="19"/>
      <c r="AU26" s="19">
        <v>716</v>
      </c>
      <c r="AV26" s="19"/>
      <c r="AW26" s="19">
        <v>579</v>
      </c>
      <c r="AX26" s="19"/>
      <c r="AY26" s="19">
        <v>620</v>
      </c>
      <c r="AZ26" s="19"/>
      <c r="BA26" s="19">
        <v>429</v>
      </c>
      <c r="BB26" s="19"/>
      <c r="BC26" s="19">
        <v>454</v>
      </c>
      <c r="BD26" s="19"/>
      <c r="BE26" s="19">
        <v>346</v>
      </c>
      <c r="BF26" s="19"/>
      <c r="BG26" s="19">
        <v>380</v>
      </c>
      <c r="BH26" s="19"/>
      <c r="BI26" s="19">
        <v>598</v>
      </c>
      <c r="BJ26" s="19"/>
      <c r="BK26" s="19">
        <v>341</v>
      </c>
      <c r="BL26" s="19"/>
      <c r="DA26" s="11"/>
      <c r="DB26" s="11"/>
    </row>
    <row r="27" spans="1:106" x14ac:dyDescent="0.2">
      <c r="A27" s="4" t="s">
        <v>25</v>
      </c>
      <c r="C27" s="19">
        <v>69</v>
      </c>
      <c r="D27" s="19"/>
      <c r="E27" s="19">
        <v>99</v>
      </c>
      <c r="F27" s="19"/>
      <c r="G27" s="19">
        <v>6</v>
      </c>
      <c r="H27" s="19"/>
      <c r="I27" s="19">
        <v>0</v>
      </c>
      <c r="J27" s="19"/>
      <c r="K27" s="19">
        <v>0</v>
      </c>
      <c r="L27" s="19"/>
      <c r="M27" s="19">
        <v>0</v>
      </c>
      <c r="N27" s="19"/>
      <c r="O27" s="19">
        <v>1</v>
      </c>
      <c r="P27" s="19"/>
      <c r="Q27" s="19">
        <v>0</v>
      </c>
      <c r="R27" s="19"/>
      <c r="S27" s="19">
        <v>62</v>
      </c>
      <c r="T27" s="19"/>
      <c r="U27" s="19">
        <v>109</v>
      </c>
      <c r="V27" s="19"/>
      <c r="W27" s="19">
        <v>0</v>
      </c>
      <c r="X27" s="19"/>
      <c r="Y27" s="19">
        <v>0</v>
      </c>
      <c r="Z27" s="19"/>
      <c r="AA27" s="19">
        <v>1</v>
      </c>
      <c r="AB27" s="19"/>
      <c r="AC27" s="19">
        <v>1</v>
      </c>
      <c r="AD27" s="19"/>
      <c r="AE27" s="19">
        <v>69</v>
      </c>
      <c r="AF27" s="19"/>
      <c r="AG27" s="19">
        <v>104</v>
      </c>
      <c r="AH27" s="19"/>
      <c r="AI27" s="19">
        <v>25</v>
      </c>
      <c r="AJ27" s="19"/>
      <c r="AK27" s="19">
        <v>38</v>
      </c>
      <c r="AL27" s="19"/>
      <c r="AM27" s="19">
        <v>70</v>
      </c>
      <c r="AN27" s="19"/>
      <c r="AO27" s="19">
        <v>76</v>
      </c>
      <c r="AP27" s="19"/>
      <c r="AQ27" s="19">
        <v>103</v>
      </c>
      <c r="AR27" s="19"/>
      <c r="AS27" s="19">
        <v>102</v>
      </c>
      <c r="AT27" s="19"/>
      <c r="AU27" s="19">
        <v>109</v>
      </c>
      <c r="AV27" s="19"/>
      <c r="AW27" s="19">
        <v>88</v>
      </c>
      <c r="AX27" s="19"/>
      <c r="AY27" s="19">
        <v>83</v>
      </c>
      <c r="AZ27" s="19"/>
      <c r="BA27" s="19">
        <v>55</v>
      </c>
      <c r="BB27" s="19"/>
      <c r="BC27" s="19">
        <v>62</v>
      </c>
      <c r="BD27" s="19"/>
      <c r="BE27" s="19">
        <v>58</v>
      </c>
      <c r="BF27" s="19"/>
      <c r="BG27" s="19">
        <v>51</v>
      </c>
      <c r="BH27" s="19"/>
      <c r="BI27" s="19">
        <v>91</v>
      </c>
      <c r="BJ27" s="19"/>
      <c r="BK27" s="19">
        <v>65</v>
      </c>
      <c r="BL27" s="19"/>
      <c r="DA27" s="11"/>
      <c r="DB27" s="11"/>
    </row>
    <row r="28" spans="1:106" ht="13.5" thickBot="1" x14ac:dyDescent="0.25">
      <c r="A28" s="4" t="s">
        <v>79</v>
      </c>
      <c r="C28" s="19">
        <v>5</v>
      </c>
      <c r="D28" s="19"/>
      <c r="E28" s="19">
        <v>7</v>
      </c>
      <c r="F28" s="19"/>
      <c r="G28" s="19">
        <v>0</v>
      </c>
      <c r="H28" s="19"/>
      <c r="I28" s="19">
        <v>0</v>
      </c>
      <c r="J28" s="19"/>
      <c r="K28" s="19">
        <v>0</v>
      </c>
      <c r="L28" s="19"/>
      <c r="M28" s="19">
        <v>0</v>
      </c>
      <c r="N28" s="19"/>
      <c r="O28" s="19">
        <v>0</v>
      </c>
      <c r="P28" s="19"/>
      <c r="Q28" s="19">
        <v>0</v>
      </c>
      <c r="R28" s="19"/>
      <c r="S28" s="19">
        <v>6</v>
      </c>
      <c r="T28" s="19"/>
      <c r="U28" s="19">
        <v>6</v>
      </c>
      <c r="V28" s="19"/>
      <c r="W28" s="19">
        <v>0</v>
      </c>
      <c r="X28" s="19"/>
      <c r="Y28" s="19">
        <v>0</v>
      </c>
      <c r="Z28" s="19"/>
      <c r="AA28" s="19">
        <v>0</v>
      </c>
      <c r="AB28" s="19"/>
      <c r="AC28" s="19">
        <v>0</v>
      </c>
      <c r="AD28" s="19"/>
      <c r="AE28" s="19">
        <v>6</v>
      </c>
      <c r="AF28" s="19"/>
      <c r="AG28" s="19">
        <v>7</v>
      </c>
      <c r="AH28" s="19"/>
      <c r="AI28" s="19">
        <v>0</v>
      </c>
      <c r="AJ28" s="19"/>
      <c r="AK28" s="19">
        <v>1</v>
      </c>
      <c r="AL28" s="19"/>
      <c r="AM28" s="19">
        <v>0</v>
      </c>
      <c r="AN28" s="19"/>
      <c r="AO28" s="19">
        <v>0</v>
      </c>
      <c r="AP28" s="19"/>
      <c r="AQ28" s="19">
        <v>0</v>
      </c>
      <c r="AR28" s="19"/>
      <c r="AS28" s="19">
        <v>0</v>
      </c>
      <c r="AT28" s="19"/>
      <c r="AU28" s="19">
        <v>1</v>
      </c>
      <c r="AV28" s="19"/>
      <c r="AW28" s="19">
        <v>1</v>
      </c>
      <c r="AX28" s="19"/>
      <c r="AY28" s="19">
        <v>1</v>
      </c>
      <c r="AZ28" s="19"/>
      <c r="BA28" s="19">
        <v>1</v>
      </c>
      <c r="BB28" s="19"/>
      <c r="BC28" s="19">
        <v>0</v>
      </c>
      <c r="BD28" s="19"/>
      <c r="BE28" s="19">
        <v>0</v>
      </c>
      <c r="BF28" s="19"/>
      <c r="BG28" s="19">
        <v>1</v>
      </c>
      <c r="BH28" s="19"/>
      <c r="BI28" s="19">
        <v>5</v>
      </c>
      <c r="BJ28" s="19"/>
      <c r="BK28" s="19">
        <v>5</v>
      </c>
      <c r="BL28" s="19"/>
      <c r="DA28" s="11"/>
      <c r="DB28" s="11"/>
    </row>
    <row r="29" spans="1:106" s="48" customFormat="1" ht="13.5" thickBot="1" x14ac:dyDescent="0.25">
      <c r="A29" s="3" t="s">
        <v>26</v>
      </c>
      <c r="C29" s="41">
        <f>+SUM(C25:C28)</f>
        <v>4497</v>
      </c>
      <c r="D29" s="57"/>
      <c r="E29" s="41">
        <f>+SUM(E25:E28)</f>
        <v>4579</v>
      </c>
      <c r="F29" s="57"/>
      <c r="G29" s="41">
        <f>+SUM(G25:G28)</f>
        <v>170</v>
      </c>
      <c r="H29" s="57"/>
      <c r="I29" s="41">
        <f>+SUM(I25:I28)</f>
        <v>45</v>
      </c>
      <c r="J29" s="57"/>
      <c r="K29" s="41">
        <f>+SUM(K25:K28)</f>
        <v>71</v>
      </c>
      <c r="L29" s="57"/>
      <c r="M29" s="41">
        <f>+SUM(M25:M28)</f>
        <v>60</v>
      </c>
      <c r="N29" s="57"/>
      <c r="O29" s="41">
        <f>+SUM(O25:O28)</f>
        <v>23</v>
      </c>
      <c r="P29" s="57"/>
      <c r="Q29" s="41">
        <f>+SUM(Q25:Q28)</f>
        <v>27</v>
      </c>
      <c r="R29" s="57"/>
      <c r="S29" s="41">
        <f>+SUM(S25:S28)</f>
        <v>3814</v>
      </c>
      <c r="T29" s="57"/>
      <c r="U29" s="41">
        <f>+SUM(U25:U28)</f>
        <v>5417</v>
      </c>
      <c r="V29" s="57"/>
      <c r="W29" s="41">
        <f>+SUM(W25:W28)</f>
        <v>61</v>
      </c>
      <c r="X29" s="57"/>
      <c r="Y29" s="41">
        <f>+SUM(Y25:Y28)</f>
        <v>41</v>
      </c>
      <c r="Z29" s="57"/>
      <c r="AA29" s="41">
        <f>+SUM(AA25:AA28)</f>
        <v>63</v>
      </c>
      <c r="AB29" s="57"/>
      <c r="AC29" s="41">
        <f>+SUM(AC25:AC28)</f>
        <v>36</v>
      </c>
      <c r="AD29" s="57"/>
      <c r="AE29" s="41">
        <f>+SUM(AE25:AE28)</f>
        <v>4555</v>
      </c>
      <c r="AF29" s="57"/>
      <c r="AG29" s="41">
        <f>+SUM(AG25:AG28)</f>
        <v>4759</v>
      </c>
      <c r="AH29" s="57"/>
      <c r="AI29" s="41">
        <f>+SUM(AI25:AI28)</f>
        <v>1987</v>
      </c>
      <c r="AJ29" s="57"/>
      <c r="AK29" s="41">
        <f>+SUM(AK25:AK28)</f>
        <v>1822</v>
      </c>
      <c r="AL29" s="57"/>
      <c r="AM29" s="41">
        <f>+SUM(AM25:AM28)</f>
        <v>4517</v>
      </c>
      <c r="AN29" s="57"/>
      <c r="AO29" s="41">
        <f>+SUM(AO25:AO28)</f>
        <v>4490</v>
      </c>
      <c r="AP29" s="57"/>
      <c r="AQ29" s="41">
        <f>+SUM(AQ25:AQ28)</f>
        <v>4766</v>
      </c>
      <c r="AR29" s="57"/>
      <c r="AS29" s="41">
        <f>+SUM(AS25:AS28)</f>
        <v>4500</v>
      </c>
      <c r="AT29" s="57"/>
      <c r="AU29" s="41">
        <f>+SUM(AU25:AU28)</f>
        <v>6120</v>
      </c>
      <c r="AV29" s="57"/>
      <c r="AW29" s="41">
        <f>+SUM(AW25:AW28)</f>
        <v>4677</v>
      </c>
      <c r="AX29" s="57"/>
      <c r="AY29" s="41">
        <f>+SUM(AY25:AY28)</f>
        <v>5022</v>
      </c>
      <c r="AZ29" s="57"/>
      <c r="BA29" s="41">
        <f>+SUM(BA25:BA28)</f>
        <v>3616</v>
      </c>
      <c r="BB29" s="57"/>
      <c r="BC29" s="41">
        <f>+SUM(BC25:BC28)</f>
        <v>3661</v>
      </c>
      <c r="BD29" s="57"/>
      <c r="BE29" s="41">
        <f>+SUM(BE25:BE28)</f>
        <v>3123</v>
      </c>
      <c r="BF29" s="57"/>
      <c r="BG29" s="41">
        <f>+SUM(BG25:BG28)</f>
        <v>3263</v>
      </c>
      <c r="BH29" s="57"/>
      <c r="BI29" s="41">
        <f>+SUM(BI25:BI28)</f>
        <v>3801</v>
      </c>
      <c r="BJ29" s="57"/>
      <c r="BK29" s="41">
        <f>+SUM(BK25:BK28)</f>
        <v>4168</v>
      </c>
      <c r="BL29" s="57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</row>
    <row r="30" spans="1:106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</row>
    <row r="31" spans="1:106" x14ac:dyDescent="0.2">
      <c r="A31" s="3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AM24" sqref="AM24:AS26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&amp;C&amp;"Arial,Bold"&amp;11Township of Hamilton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S6" activePane="bottomRight" state="frozen"/>
      <selection pane="bottomRight" activeCell="AC23" sqref="AC23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&amp;C&amp;"Arial,Bold"&amp;11Township of Hamilton
General Election - November 3, 2015
Prepared by the Office of Edward P. McGettigan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S6" activePane="bottomRight" state="frozen"/>
      <selection pane="bottomRight" activeCell="AC23" sqref="AC23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&amp;C&amp;"Arial,Bold"&amp;11Township of Hamilton
General Election - November 3, 2015
Prepared by the Office of Edward P. McGettigan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S6" activePane="bottomRight" state="frozen"/>
      <selection pane="bottomRight" activeCell="AC23" sqref="AC23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&amp;C&amp;"Arial,Bold"&amp;11Township of Hamilton
General Election - November 3, 2015
Prepared by the Office of Edward P. McGettigan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S6" activePane="bottomRight" state="frozen"/>
      <selection pane="bottomRight" activeCell="AC23" sqref="AC23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&amp;C&amp;"Arial,Bold"&amp;11Township of Hamilton
General Election - November 3, 2015
Prepared by the Office of Edward P. McGettigan</oddHeader>
        <oddFooter>&amp;R&amp;11Page &amp;P</oddFooter>
      </headerFooter>
    </customSheetView>
  </customSheetViews>
  <mergeCells count="10">
    <mergeCell ref="C5:Q5"/>
    <mergeCell ref="S5:AC5"/>
    <mergeCell ref="AE5:AG5"/>
    <mergeCell ref="AI5:AK5"/>
    <mergeCell ref="AM5:AS5"/>
    <mergeCell ref="BE3:BG3"/>
    <mergeCell ref="BI5:BK5"/>
    <mergeCell ref="AW5:BC5"/>
    <mergeCell ref="BE4:BG4"/>
    <mergeCell ref="BE5:BG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&amp;C&amp;"Arial,Bold"&amp;11Township of Hamilton
General Election - November 6, 2018
Prepared by the Office of Edward P. McGettigan, Atlantic County Clerk</oddHeader>
    <oddFooter>&amp;R&amp;11Page &amp;P</oddFooter>
  </headerFooter>
  <colBreaks count="3" manualBreakCount="3">
    <brk id="29" max="28" man="1"/>
    <brk id="55" max="29" man="1"/>
    <brk id="75" max="1048575" man="1"/>
  </colBreaks>
  <drawing r:id="rId7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DA24"/>
  <sheetViews>
    <sheetView zoomScale="75" zoomScaleNormal="75" zoomScaleSheetLayoutView="75" workbookViewId="0">
      <pane xSplit="1" ySplit="10" topLeftCell="AH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11" customWidth="1"/>
    <col min="4" max="4" width="1.7109375" style="11" customWidth="1"/>
    <col min="5" max="5" width="11.5703125" style="11" customWidth="1"/>
    <col min="6" max="6" width="1.7109375" style="11" customWidth="1"/>
    <col min="7" max="7" width="15.85546875" style="11" customWidth="1"/>
    <col min="8" max="8" width="1.7109375" style="11" customWidth="1"/>
    <col min="9" max="9" width="12.140625" style="11" customWidth="1"/>
    <col min="10" max="10" width="1.7109375" style="11" customWidth="1"/>
    <col min="11" max="11" width="15.85546875" style="11" customWidth="1"/>
    <col min="12" max="12" width="1.7109375" style="11" customWidth="1"/>
    <col min="13" max="13" width="12.140625" style="11" customWidth="1"/>
    <col min="14" max="14" width="1.7109375" style="11" customWidth="1"/>
    <col min="15" max="15" width="12.140625" style="11" customWidth="1"/>
    <col min="16" max="16" width="1.7109375" style="11" customWidth="1"/>
    <col min="17" max="17" width="14" style="11" customWidth="1"/>
    <col min="18" max="18" width="1.7109375" style="11" customWidth="1"/>
    <col min="19" max="19" width="12.85546875" style="11" customWidth="1"/>
    <col min="20" max="20" width="1.7109375" style="11" customWidth="1"/>
    <col min="21" max="21" width="11.5703125" style="11" customWidth="1"/>
    <col min="22" max="22" width="1.7109375" style="11" customWidth="1"/>
    <col min="23" max="23" width="12.140625" style="11" customWidth="1"/>
    <col min="24" max="24" width="1.7109375" style="11" customWidth="1"/>
    <col min="25" max="25" width="12.140625" style="11" customWidth="1"/>
    <col min="26" max="26" width="1.7109375" style="11" customWidth="1"/>
    <col min="27" max="27" width="11.5703125" style="11" customWidth="1"/>
    <col min="28" max="28" width="1.7109375" style="11" customWidth="1"/>
    <col min="29" max="29" width="11.85546875" style="33" customWidth="1"/>
    <col min="30" max="30" width="1.7109375" style="11" customWidth="1"/>
    <col min="31" max="31" width="12.140625" style="33" customWidth="1"/>
    <col min="32" max="32" width="1.7109375" style="11" customWidth="1"/>
    <col min="33" max="33" width="12.85546875" style="33" customWidth="1"/>
    <col min="34" max="34" width="1.7109375" style="11" customWidth="1"/>
    <col min="35" max="35" width="12.140625" style="33" customWidth="1"/>
    <col min="36" max="36" width="1.7109375" style="11" customWidth="1"/>
    <col min="37" max="37" width="12.5703125" style="33" customWidth="1"/>
    <col min="38" max="38" width="1.7109375" style="11" customWidth="1"/>
    <col min="39" max="39" width="12.140625" style="33" customWidth="1"/>
    <col min="40" max="40" width="1.7109375" style="11" customWidth="1"/>
    <col min="41" max="41" width="12.140625" style="33" customWidth="1"/>
    <col min="42" max="42" width="1.7109375" style="11" customWidth="1"/>
    <col min="43" max="43" width="12.140625" style="33" customWidth="1"/>
    <col min="44" max="44" width="1.7109375" style="11" customWidth="1"/>
    <col min="45" max="45" width="12.140625" style="33" customWidth="1"/>
    <col min="46" max="46" width="1.7109375" style="11" customWidth="1"/>
    <col min="47" max="47" width="12.140625" style="33" customWidth="1"/>
    <col min="48" max="48" width="1.7109375" style="11" customWidth="1"/>
    <col min="49" max="49" width="12.140625" style="33" customWidth="1"/>
    <col min="50" max="50" width="1.7109375" style="11" customWidth="1"/>
    <col min="51" max="51" width="12.140625" style="33" customWidth="1"/>
    <col min="52" max="52" width="1.7109375" style="11" customWidth="1"/>
    <col min="53" max="53" width="12.140625" style="33" customWidth="1"/>
    <col min="54" max="54" width="1.7109375" style="11" customWidth="1"/>
    <col min="55" max="55" width="13.140625" style="33" customWidth="1"/>
    <col min="56" max="56" width="1.7109375" style="33" customWidth="1"/>
    <col min="57" max="57" width="12.140625" style="33" customWidth="1"/>
    <col min="58" max="58" width="1.7109375" style="33" customWidth="1"/>
    <col min="59" max="59" width="12.140625" style="33" customWidth="1"/>
    <col min="60" max="60" width="1.7109375" style="33" customWidth="1"/>
    <col min="61" max="61" width="12.140625" style="33" customWidth="1"/>
    <col min="62" max="62" width="1.7109375" style="33" customWidth="1"/>
    <col min="63" max="63" width="12.140625" style="33" customWidth="1"/>
    <col min="64" max="64" width="1.7109375" style="33" customWidth="1"/>
    <col min="65" max="65" width="12.140625" style="33" customWidth="1"/>
    <col min="66" max="66" width="1.7109375" style="33" customWidth="1"/>
    <col min="67" max="67" width="12.140625" style="33" customWidth="1"/>
    <col min="68" max="68" width="1.7109375" style="33" customWidth="1"/>
    <col min="69" max="69" width="12.140625" style="33" customWidth="1"/>
    <col min="70" max="70" width="1.7109375" style="33" customWidth="1"/>
    <col min="71" max="71" width="9.7109375" style="33" customWidth="1"/>
    <col min="72" max="72" width="1.7109375" style="33" customWidth="1"/>
    <col min="73" max="73" width="9.7109375" style="33" customWidth="1"/>
    <col min="74" max="74" width="1.7109375" style="33" customWidth="1"/>
    <col min="75" max="75" width="10.28515625" style="57" customWidth="1"/>
    <col min="76" max="76" width="1.7109375" style="19" customWidth="1"/>
    <col min="77" max="77" width="10.5703125" style="19" customWidth="1"/>
    <col min="78" max="78" width="1.7109375" style="19" customWidth="1"/>
    <col min="79" max="79" width="12" style="19" customWidth="1"/>
    <col min="80" max="80" width="1.7109375" style="19" customWidth="1"/>
    <col min="81" max="81" width="12" style="19" customWidth="1"/>
    <col min="82" max="82" width="1.7109375" style="19" customWidth="1"/>
    <col min="83" max="83" width="12" style="57" customWidth="1"/>
    <col min="84" max="84" width="1.7109375" style="19" customWidth="1"/>
    <col min="85" max="85" width="12" style="19" customWidth="1"/>
    <col min="86" max="86" width="1.7109375" style="19" customWidth="1"/>
    <col min="87" max="87" width="12" style="19" customWidth="1"/>
    <col min="88" max="88" width="1.7109375" style="19" customWidth="1"/>
    <col min="89" max="105" width="9.140625" style="19"/>
    <col min="106" max="16384" width="9.140625" style="11"/>
  </cols>
  <sheetData>
    <row r="1" spans="1:105" x14ac:dyDescent="0.2">
      <c r="CX1" s="11"/>
      <c r="CY1" s="11"/>
      <c r="CZ1" s="11"/>
      <c r="DA1" s="11"/>
    </row>
    <row r="2" spans="1:105" s="407" customFormat="1" ht="14.25" x14ac:dyDescent="0.2">
      <c r="A2" s="309"/>
      <c r="AC2" s="408"/>
      <c r="AE2" s="408"/>
      <c r="AG2" s="408"/>
      <c r="AI2" s="408"/>
      <c r="AK2" s="408"/>
      <c r="AM2" s="408"/>
      <c r="AO2" s="408"/>
      <c r="AQ2" s="408"/>
      <c r="AS2" s="408"/>
      <c r="AU2" s="408"/>
      <c r="AW2" s="408"/>
      <c r="AY2" s="408"/>
      <c r="BA2" s="408"/>
      <c r="BC2" s="408"/>
      <c r="BD2" s="408"/>
      <c r="BE2" s="408"/>
      <c r="BF2" s="408"/>
      <c r="BG2" s="408"/>
      <c r="BH2" s="408"/>
      <c r="BI2" s="408"/>
      <c r="BJ2" s="408"/>
      <c r="BK2" s="408"/>
      <c r="BL2" s="408"/>
      <c r="BM2" s="408"/>
      <c r="BN2" s="408"/>
      <c r="BO2" s="408"/>
      <c r="BP2" s="408"/>
      <c r="BQ2" s="408"/>
      <c r="BR2" s="408"/>
      <c r="BS2" s="408"/>
      <c r="BT2" s="408"/>
      <c r="BU2" s="408"/>
      <c r="BV2" s="408"/>
      <c r="BW2" s="433"/>
      <c r="BX2" s="409"/>
      <c r="BY2" s="409"/>
      <c r="BZ2" s="409"/>
      <c r="CA2" s="409"/>
      <c r="CB2" s="409"/>
      <c r="CC2" s="409"/>
      <c r="CD2" s="409"/>
      <c r="CE2" s="433"/>
      <c r="CF2" s="409"/>
      <c r="CG2" s="409"/>
      <c r="CH2" s="409"/>
      <c r="CI2" s="409"/>
      <c r="CJ2" s="409"/>
      <c r="CK2" s="409"/>
      <c r="CL2" s="409"/>
      <c r="CM2" s="409"/>
      <c r="CN2" s="409"/>
      <c r="CO2" s="409"/>
      <c r="CP2" s="409"/>
      <c r="CQ2" s="409"/>
      <c r="CR2" s="409"/>
      <c r="CS2" s="409"/>
      <c r="CT2" s="409"/>
      <c r="CU2" s="409"/>
      <c r="CV2" s="409"/>
      <c r="CW2" s="409"/>
    </row>
    <row r="3" spans="1:105" s="407" customFormat="1" ht="14.25" x14ac:dyDescent="0.2">
      <c r="A3" s="309"/>
      <c r="AC3" s="408"/>
      <c r="AE3" s="408"/>
      <c r="AG3" s="408"/>
      <c r="AI3" s="408"/>
      <c r="AK3" s="408"/>
      <c r="AM3" s="408"/>
      <c r="AO3" s="408"/>
      <c r="AQ3" s="408"/>
      <c r="AS3" s="408"/>
      <c r="AU3" s="408"/>
      <c r="AW3" s="408"/>
      <c r="AY3" s="408"/>
      <c r="BA3" s="408"/>
      <c r="BC3" s="408"/>
      <c r="BD3" s="408"/>
      <c r="BE3" s="408"/>
      <c r="BF3" s="408"/>
      <c r="BG3" s="408"/>
      <c r="BH3" s="408"/>
      <c r="BI3" s="408"/>
      <c r="BJ3" s="408"/>
      <c r="BK3" s="408"/>
      <c r="BL3" s="408"/>
      <c r="BM3" s="408"/>
      <c r="BN3" s="408"/>
      <c r="BO3" s="408"/>
      <c r="BP3" s="408"/>
      <c r="BQ3" s="408"/>
      <c r="BR3" s="408"/>
      <c r="BS3" s="408"/>
      <c r="BT3" s="408"/>
      <c r="BU3" s="408"/>
      <c r="BV3" s="408"/>
      <c r="BW3" s="433"/>
      <c r="BX3" s="409"/>
      <c r="BY3" s="409"/>
      <c r="BZ3" s="409"/>
      <c r="CA3" s="409"/>
      <c r="CB3" s="409"/>
      <c r="CC3" s="409"/>
      <c r="CD3" s="409"/>
      <c r="CE3" s="433"/>
      <c r="CF3" s="409"/>
      <c r="CG3" s="409"/>
      <c r="CH3" s="409"/>
      <c r="CI3" s="409"/>
      <c r="CJ3" s="409"/>
      <c r="CK3" s="409"/>
      <c r="CL3" s="409"/>
      <c r="CM3" s="409"/>
      <c r="CN3" s="409"/>
      <c r="CO3" s="409"/>
      <c r="CP3" s="409"/>
      <c r="CQ3" s="409"/>
      <c r="CR3" s="409"/>
      <c r="CS3" s="409"/>
      <c r="CT3" s="409"/>
      <c r="CU3" s="409"/>
      <c r="CV3" s="409"/>
      <c r="CW3" s="409"/>
    </row>
    <row r="4" spans="1:105" s="372" customFormat="1" ht="15" x14ac:dyDescent="0.25">
      <c r="A4" s="362"/>
      <c r="C4" s="314"/>
      <c r="D4" s="314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S4" s="324"/>
      <c r="AU4" s="324"/>
      <c r="AW4" s="324"/>
      <c r="AY4" s="324"/>
      <c r="BA4" s="324"/>
      <c r="BC4" s="324"/>
      <c r="BD4" s="324"/>
      <c r="BE4" s="324"/>
      <c r="BF4" s="324"/>
      <c r="BG4" s="324"/>
      <c r="BH4" s="324"/>
      <c r="BI4" s="324"/>
      <c r="BJ4" s="324"/>
      <c r="BK4" s="324"/>
      <c r="BL4" s="324"/>
      <c r="BM4" s="324"/>
      <c r="BN4" s="324"/>
      <c r="BO4" s="324"/>
      <c r="BP4" s="324"/>
      <c r="BQ4" s="324"/>
      <c r="BR4" s="324"/>
      <c r="BS4" s="324"/>
      <c r="BT4" s="324"/>
      <c r="BU4" s="324"/>
      <c r="BV4" s="324"/>
      <c r="BW4" s="413"/>
      <c r="BX4" s="373"/>
      <c r="BY4" s="373"/>
      <c r="BZ4" s="373"/>
      <c r="CA4" s="373"/>
      <c r="CB4" s="373"/>
      <c r="CC4" s="373"/>
      <c r="CD4" s="373"/>
      <c r="CE4" s="413"/>
      <c r="CF4" s="373"/>
      <c r="CG4" s="37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</row>
    <row r="5" spans="1:105" s="372" customFormat="1" ht="15.75" thickBot="1" x14ac:dyDescent="0.3">
      <c r="A5" s="362"/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142"/>
      <c r="AE5" s="470" t="s">
        <v>80</v>
      </c>
      <c r="AF5" s="470"/>
      <c r="AG5" s="470"/>
      <c r="AH5" s="376"/>
      <c r="AI5" s="471" t="s">
        <v>185</v>
      </c>
      <c r="AJ5" s="471"/>
      <c r="AK5" s="471"/>
      <c r="AL5" s="323"/>
      <c r="AM5" s="464" t="s">
        <v>117</v>
      </c>
      <c r="AN5" s="464"/>
      <c r="AO5" s="464"/>
      <c r="AP5" s="464"/>
      <c r="AQ5" s="464"/>
      <c r="AR5" s="464"/>
      <c r="AS5" s="464"/>
      <c r="AT5" s="464"/>
      <c r="AU5" s="464"/>
      <c r="AV5" s="464"/>
      <c r="AW5" s="464"/>
      <c r="AX5" s="464"/>
      <c r="AY5" s="464"/>
      <c r="AZ5" s="464"/>
      <c r="BA5" s="464"/>
      <c r="BB5" s="464"/>
      <c r="BC5" s="464"/>
      <c r="BD5" s="323"/>
      <c r="BE5" s="464" t="s">
        <v>114</v>
      </c>
      <c r="BF5" s="464"/>
      <c r="BG5" s="464"/>
      <c r="BH5" s="464"/>
      <c r="BI5" s="464"/>
      <c r="BJ5" s="464"/>
      <c r="BK5" s="464"/>
      <c r="BL5" s="464"/>
      <c r="BM5" s="464"/>
      <c r="BN5" s="464"/>
      <c r="BO5" s="464"/>
      <c r="BP5" s="464"/>
      <c r="BQ5" s="464"/>
      <c r="BR5" s="323"/>
      <c r="BS5" s="457" t="s">
        <v>196</v>
      </c>
      <c r="BT5" s="457"/>
      <c r="BU5" s="457"/>
      <c r="BV5" s="323"/>
      <c r="BW5" s="413"/>
      <c r="BX5" s="373"/>
      <c r="BY5" s="373"/>
      <c r="BZ5" s="373"/>
      <c r="CA5" s="373"/>
      <c r="CB5" s="373"/>
      <c r="CC5" s="373"/>
      <c r="CD5" s="373"/>
      <c r="CE5" s="413"/>
      <c r="CF5" s="373"/>
      <c r="CG5" s="37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</row>
    <row r="6" spans="1:105" s="10" customFormat="1" ht="15" x14ac:dyDescent="0.2">
      <c r="A6" s="72"/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142"/>
      <c r="AE6" s="172"/>
      <c r="AF6" s="173"/>
      <c r="AG6" s="174"/>
      <c r="AH6" s="267"/>
      <c r="AI6" s="386"/>
      <c r="AJ6" s="387"/>
      <c r="AK6" s="388" t="str">
        <f>+'Lead Sheet '!AO4</f>
        <v>Barbara</v>
      </c>
      <c r="AL6" s="290"/>
      <c r="AM6" s="103"/>
      <c r="AN6" s="104"/>
      <c r="AO6" s="104"/>
      <c r="AP6" s="104"/>
      <c r="AQ6" s="104"/>
      <c r="AR6" s="431"/>
      <c r="AS6" s="170" t="s">
        <v>195</v>
      </c>
      <c r="AT6" s="218"/>
      <c r="AU6" s="170" t="s">
        <v>195</v>
      </c>
      <c r="AV6" s="218"/>
      <c r="AW6" s="170" t="s">
        <v>195</v>
      </c>
      <c r="AX6" s="218"/>
      <c r="AY6" s="170"/>
      <c r="AZ6" s="218"/>
      <c r="BA6" s="170"/>
      <c r="BB6" s="218"/>
      <c r="BC6" s="171"/>
      <c r="BD6" s="150"/>
      <c r="BE6" s="198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1"/>
      <c r="BR6" s="150"/>
      <c r="BS6" s="172"/>
      <c r="BT6" s="173"/>
      <c r="BU6" s="174"/>
      <c r="BV6" s="150"/>
      <c r="BW6" s="79"/>
      <c r="BX6" s="77"/>
      <c r="BY6" s="81"/>
      <c r="BZ6" s="77"/>
      <c r="CA6" s="81"/>
      <c r="CB6" s="77"/>
      <c r="CC6" s="81"/>
      <c r="CD6" s="77"/>
      <c r="CE6" s="82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</row>
    <row r="7" spans="1:105" s="10" customFormat="1" ht="15" x14ac:dyDescent="0.25">
      <c r="A7" s="72"/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tr">
        <f>+'Lead Sheet '!AM5</f>
        <v>James</v>
      </c>
      <c r="AJ7" s="290"/>
      <c r="AK7" s="107" t="str">
        <f>+'Lead Sheet '!AO5</f>
        <v>BUTTERHOF</v>
      </c>
      <c r="AL7" s="290"/>
      <c r="AM7" s="106" t="s">
        <v>166</v>
      </c>
      <c r="AN7" s="290"/>
      <c r="AO7" s="95" t="s">
        <v>344</v>
      </c>
      <c r="AP7" s="290"/>
      <c r="AQ7" s="95" t="s">
        <v>346</v>
      </c>
      <c r="AS7" s="150" t="s">
        <v>252</v>
      </c>
      <c r="AT7" s="37"/>
      <c r="AU7" s="150" t="s">
        <v>252</v>
      </c>
      <c r="AV7" s="37"/>
      <c r="AW7" s="150" t="s">
        <v>252</v>
      </c>
      <c r="AX7" s="37"/>
      <c r="AY7" s="150" t="s">
        <v>348</v>
      </c>
      <c r="AZ7" s="37"/>
      <c r="BA7" s="150" t="s">
        <v>350</v>
      </c>
      <c r="BB7" s="37"/>
      <c r="BC7" s="184" t="s">
        <v>352</v>
      </c>
      <c r="BD7" s="150"/>
      <c r="BE7" s="183" t="s">
        <v>355</v>
      </c>
      <c r="BF7" s="150"/>
      <c r="BG7" s="150" t="s">
        <v>105</v>
      </c>
      <c r="BH7" s="150"/>
      <c r="BI7" s="150" t="s">
        <v>139</v>
      </c>
      <c r="BJ7" s="150"/>
      <c r="BK7" s="150" t="s">
        <v>359</v>
      </c>
      <c r="BL7" s="150"/>
      <c r="BM7" s="150" t="s">
        <v>361</v>
      </c>
      <c r="BN7" s="150"/>
      <c r="BO7" s="150" t="s">
        <v>121</v>
      </c>
      <c r="BP7" s="150"/>
      <c r="BQ7" s="184" t="s">
        <v>364</v>
      </c>
      <c r="BR7" s="150"/>
      <c r="BS7" s="155"/>
      <c r="BT7" s="324"/>
      <c r="BU7" s="156"/>
      <c r="BV7" s="150"/>
      <c r="BW7" s="78" t="s">
        <v>24</v>
      </c>
      <c r="BX7" s="76"/>
      <c r="BY7" s="83" t="s">
        <v>24</v>
      </c>
      <c r="BZ7" s="76"/>
      <c r="CA7" s="83" t="s">
        <v>24</v>
      </c>
      <c r="CB7" s="76"/>
      <c r="CC7" s="83" t="s">
        <v>24</v>
      </c>
      <c r="CD7" s="76"/>
      <c r="CE7" s="84" t="s">
        <v>24</v>
      </c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</row>
    <row r="8" spans="1:105" s="10" customFormat="1" ht="14.25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tr">
        <f>+'Lead Sheet '!AM6</f>
        <v>BERTINO</v>
      </c>
      <c r="AJ8" s="290"/>
      <c r="AK8" s="107" t="str">
        <f>+'Lead Sheet '!AO6</f>
        <v>RHEAULT</v>
      </c>
      <c r="AL8" s="290"/>
      <c r="AM8" s="106" t="s">
        <v>343</v>
      </c>
      <c r="AN8" s="290"/>
      <c r="AO8" s="95" t="s">
        <v>345</v>
      </c>
      <c r="AP8" s="290"/>
      <c r="AQ8" s="95" t="s">
        <v>347</v>
      </c>
      <c r="AS8" s="150" t="s">
        <v>119</v>
      </c>
      <c r="AT8" s="37"/>
      <c r="AU8" s="150" t="s">
        <v>119</v>
      </c>
      <c r="AV8" s="37"/>
      <c r="AW8" s="150" t="s">
        <v>119</v>
      </c>
      <c r="AX8" s="37"/>
      <c r="AY8" s="150" t="s">
        <v>349</v>
      </c>
      <c r="AZ8" s="37"/>
      <c r="BA8" s="150" t="s">
        <v>351</v>
      </c>
      <c r="BB8" s="37"/>
      <c r="BC8" s="184" t="s">
        <v>353</v>
      </c>
      <c r="BD8" s="150"/>
      <c r="BE8" s="183" t="s">
        <v>356</v>
      </c>
      <c r="BF8" s="150"/>
      <c r="BG8" s="150" t="s">
        <v>357</v>
      </c>
      <c r="BH8" s="150"/>
      <c r="BI8" s="150" t="s">
        <v>358</v>
      </c>
      <c r="BJ8" s="150"/>
      <c r="BK8" s="150" t="s">
        <v>360</v>
      </c>
      <c r="BL8" s="150"/>
      <c r="BM8" s="150" t="s">
        <v>362</v>
      </c>
      <c r="BN8" s="150"/>
      <c r="BO8" s="150" t="s">
        <v>363</v>
      </c>
      <c r="BP8" s="150"/>
      <c r="BQ8" s="184" t="s">
        <v>365</v>
      </c>
      <c r="BR8" s="150"/>
      <c r="BS8" s="315" t="s">
        <v>106</v>
      </c>
      <c r="BT8" s="143"/>
      <c r="BU8" s="316" t="s">
        <v>107</v>
      </c>
      <c r="BV8" s="150"/>
      <c r="BW8" s="78" t="s">
        <v>83</v>
      </c>
      <c r="BX8" s="76"/>
      <c r="BY8" s="83" t="s">
        <v>84</v>
      </c>
      <c r="BZ8" s="76"/>
      <c r="CA8" s="83" t="s">
        <v>85</v>
      </c>
      <c r="CB8" s="76"/>
      <c r="CC8" s="83" t="s">
        <v>86</v>
      </c>
      <c r="CD8" s="76"/>
      <c r="CE8" s="84" t="s">
        <v>87</v>
      </c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</row>
    <row r="9" spans="1:105" s="10" customFormat="1" ht="14.25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tr">
        <f>+'Lead Sheet '!AM7</f>
        <v>Republican</v>
      </c>
      <c r="AJ9" s="290"/>
      <c r="AK9" s="107" t="str">
        <f>+'Lead Sheet '!AO7</f>
        <v>Democratic</v>
      </c>
      <c r="AL9" s="290"/>
      <c r="AM9" s="106" t="s">
        <v>93</v>
      </c>
      <c r="AN9" s="290"/>
      <c r="AO9" s="95" t="s">
        <v>93</v>
      </c>
      <c r="AP9" s="290"/>
      <c r="AQ9" s="95" t="s">
        <v>93</v>
      </c>
      <c r="AS9" s="150" t="s">
        <v>99</v>
      </c>
      <c r="AT9" s="37"/>
      <c r="AU9" s="150" t="s">
        <v>99</v>
      </c>
      <c r="AV9" s="37"/>
      <c r="AW9" s="150" t="s">
        <v>99</v>
      </c>
      <c r="AX9" s="37"/>
      <c r="AY9" s="150" t="s">
        <v>354</v>
      </c>
      <c r="AZ9" s="37"/>
      <c r="BA9" s="150" t="s">
        <v>354</v>
      </c>
      <c r="BB9" s="37"/>
      <c r="BC9" s="184" t="s">
        <v>354</v>
      </c>
      <c r="BD9" s="150"/>
      <c r="BE9" s="183"/>
      <c r="BF9" s="150"/>
      <c r="BG9" s="150"/>
      <c r="BH9" s="150"/>
      <c r="BI9" s="150"/>
      <c r="BJ9" s="150"/>
      <c r="BK9" s="150"/>
      <c r="BL9" s="150"/>
      <c r="BM9" s="150"/>
      <c r="BN9" s="150"/>
      <c r="BO9" s="150"/>
      <c r="BP9" s="150"/>
      <c r="BQ9" s="184"/>
      <c r="BR9" s="150"/>
      <c r="BS9" s="296"/>
      <c r="BT9" s="295"/>
      <c r="BU9" s="297"/>
      <c r="BV9" s="150"/>
      <c r="BW9" s="78" t="s">
        <v>89</v>
      </c>
      <c r="BX9" s="76"/>
      <c r="BY9" s="83" t="s">
        <v>90</v>
      </c>
      <c r="BZ9" s="76"/>
      <c r="CA9" s="83" t="s">
        <v>89</v>
      </c>
      <c r="CB9" s="76"/>
      <c r="CC9" s="83" t="s">
        <v>89</v>
      </c>
      <c r="CD9" s="76"/>
      <c r="CE9" s="84" t="s">
        <v>89</v>
      </c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</row>
    <row r="10" spans="1:105" s="10" customFormat="1" ht="15" thickBot="1" x14ac:dyDescent="0.25">
      <c r="A10" s="72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90"/>
      <c r="AM10" s="120"/>
      <c r="AN10" s="289"/>
      <c r="AO10" s="289"/>
      <c r="AP10" s="289"/>
      <c r="AQ10" s="289"/>
      <c r="AR10" s="432"/>
      <c r="AS10" s="180"/>
      <c r="AT10" s="219"/>
      <c r="AU10" s="180"/>
      <c r="AV10" s="219"/>
      <c r="AW10" s="180"/>
      <c r="AX10" s="219"/>
      <c r="AY10" s="180" t="s">
        <v>140</v>
      </c>
      <c r="AZ10" s="219"/>
      <c r="BA10" s="180" t="s">
        <v>140</v>
      </c>
      <c r="BB10" s="219"/>
      <c r="BC10" s="200" t="s">
        <v>140</v>
      </c>
      <c r="BD10" s="150"/>
      <c r="BE10" s="199"/>
      <c r="BF10" s="180"/>
      <c r="BG10" s="180"/>
      <c r="BH10" s="180"/>
      <c r="BI10" s="180"/>
      <c r="BJ10" s="180"/>
      <c r="BK10" s="180"/>
      <c r="BL10" s="180"/>
      <c r="BM10" s="180"/>
      <c r="BN10" s="180"/>
      <c r="BO10" s="180"/>
      <c r="BP10" s="180"/>
      <c r="BQ10" s="200"/>
      <c r="BR10" s="150"/>
      <c r="BS10" s="146"/>
      <c r="BT10" s="144"/>
      <c r="BU10" s="145"/>
      <c r="BV10" s="150"/>
      <c r="BW10" s="80"/>
      <c r="BX10" s="85"/>
      <c r="BY10" s="85"/>
      <c r="BZ10" s="85"/>
      <c r="CA10" s="85"/>
      <c r="CB10" s="85"/>
      <c r="CC10" s="85"/>
      <c r="CD10" s="85"/>
      <c r="CE10" s="86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</row>
    <row r="11" spans="1:105" s="22" customFormat="1" x14ac:dyDescent="0.2">
      <c r="A11" s="9" t="s">
        <v>53</v>
      </c>
      <c r="C11" s="62">
        <f>268+251</f>
        <v>519</v>
      </c>
      <c r="E11" s="62">
        <f>126+108</f>
        <v>234</v>
      </c>
      <c r="G11" s="62">
        <f>5+7</f>
        <v>12</v>
      </c>
      <c r="I11" s="62">
        <v>2</v>
      </c>
      <c r="K11" s="62">
        <f>1+3</f>
        <v>4</v>
      </c>
      <c r="M11" s="62">
        <f>3+1</f>
        <v>4</v>
      </c>
      <c r="O11" s="62">
        <v>3</v>
      </c>
      <c r="Q11" s="62">
        <v>0</v>
      </c>
      <c r="S11" s="62">
        <f>237+216</f>
        <v>453</v>
      </c>
      <c r="U11" s="62">
        <f>156+143</f>
        <v>299</v>
      </c>
      <c r="W11" s="62">
        <f>3+4</f>
        <v>7</v>
      </c>
      <c r="Y11" s="62">
        <v>1</v>
      </c>
      <c r="AA11" s="62">
        <f>4+3</f>
        <v>7</v>
      </c>
      <c r="AC11" s="62">
        <v>1</v>
      </c>
      <c r="AE11" s="18">
        <f>273+256</f>
        <v>529</v>
      </c>
      <c r="AG11" s="18">
        <f>121+107</f>
        <v>228</v>
      </c>
      <c r="AI11" s="18">
        <f>286+267</f>
        <v>553</v>
      </c>
      <c r="AK11" s="18">
        <f>112+105</f>
        <v>217</v>
      </c>
      <c r="AM11" s="18">
        <f>212+180</f>
        <v>392</v>
      </c>
      <c r="AO11" s="18">
        <f>220+181</f>
        <v>401</v>
      </c>
      <c r="AQ11" s="18">
        <f>149+130</f>
        <v>279</v>
      </c>
      <c r="AS11" s="18"/>
      <c r="AU11" s="18"/>
      <c r="AW11" s="18"/>
      <c r="AY11" s="18">
        <f>199+194</f>
        <v>393</v>
      </c>
      <c r="BA11" s="18">
        <f>183+179</f>
        <v>362</v>
      </c>
      <c r="BC11" s="18">
        <f>184+174</f>
        <v>358</v>
      </c>
      <c r="BD11" s="19"/>
      <c r="BE11" s="18">
        <f>125+98</f>
        <v>223</v>
      </c>
      <c r="BF11" s="35"/>
      <c r="BG11" s="18">
        <f>191+153</f>
        <v>344</v>
      </c>
      <c r="BH11" s="33"/>
      <c r="BI11" s="18">
        <f>140+131</f>
        <v>271</v>
      </c>
      <c r="BJ11" s="19"/>
      <c r="BK11" s="18">
        <f>84+94</f>
        <v>178</v>
      </c>
      <c r="BL11" s="63"/>
      <c r="BM11" s="18">
        <f>98+92</f>
        <v>190</v>
      </c>
      <c r="BN11" s="19"/>
      <c r="BO11" s="18">
        <f>178+161</f>
        <v>339</v>
      </c>
      <c r="BP11" s="19"/>
      <c r="BQ11" s="18">
        <f>73+63</f>
        <v>136</v>
      </c>
      <c r="BR11" s="19"/>
      <c r="BS11" s="18">
        <f>122+101</f>
        <v>223</v>
      </c>
      <c r="BT11" s="19"/>
      <c r="BU11" s="18">
        <f>260+223</f>
        <v>483</v>
      </c>
      <c r="BV11" s="19"/>
      <c r="BW11" s="55">
        <f>429+384</f>
        <v>813</v>
      </c>
      <c r="BX11" s="23"/>
      <c r="BY11" s="18">
        <v>620</v>
      </c>
      <c r="BZ11" s="23"/>
      <c r="CA11" s="18">
        <v>91</v>
      </c>
      <c r="CB11" s="23"/>
      <c r="CC11" s="18"/>
      <c r="CD11" s="23"/>
      <c r="CE11" s="55">
        <f t="shared" ref="CE11:CE17" si="0">+SUM(BW11:CC11)</f>
        <v>1524</v>
      </c>
      <c r="CU11" s="23"/>
    </row>
    <row r="12" spans="1:105" x14ac:dyDescent="0.2">
      <c r="A12" s="9" t="s">
        <v>54</v>
      </c>
      <c r="C12" s="16">
        <f>181+195</f>
        <v>376</v>
      </c>
      <c r="E12" s="16">
        <f>81+93</f>
        <v>174</v>
      </c>
      <c r="G12" s="16">
        <f>4+9</f>
        <v>13</v>
      </c>
      <c r="I12" s="16">
        <f>1+2</f>
        <v>3</v>
      </c>
      <c r="K12" s="16">
        <f>2+8</f>
        <v>10</v>
      </c>
      <c r="M12" s="16">
        <v>3</v>
      </c>
      <c r="O12" s="16">
        <v>0</v>
      </c>
      <c r="Q12" s="16">
        <v>0</v>
      </c>
      <c r="S12" s="16">
        <f>149+170</f>
        <v>319</v>
      </c>
      <c r="U12" s="16">
        <f>111+124</f>
        <v>235</v>
      </c>
      <c r="W12" s="16">
        <f>1+3</f>
        <v>4</v>
      </c>
      <c r="Y12" s="16">
        <v>3</v>
      </c>
      <c r="AA12" s="16">
        <f>1+7</f>
        <v>8</v>
      </c>
      <c r="AC12" s="16">
        <f>1+1</f>
        <v>2</v>
      </c>
      <c r="AD12" s="37"/>
      <c r="AE12" s="16">
        <f>182+198</f>
        <v>380</v>
      </c>
      <c r="AG12" s="16">
        <f>84+99</f>
        <v>183</v>
      </c>
      <c r="AI12" s="16">
        <f>192+219</f>
        <v>411</v>
      </c>
      <c r="AK12" s="16">
        <f>72+93</f>
        <v>165</v>
      </c>
      <c r="AM12" s="16">
        <f>136+152</f>
        <v>288</v>
      </c>
      <c r="AO12" s="16">
        <f>143+158</f>
        <v>301</v>
      </c>
      <c r="AQ12" s="16">
        <f>108+132</f>
        <v>240</v>
      </c>
      <c r="AS12" s="60" t="s">
        <v>108</v>
      </c>
      <c r="AU12" s="60" t="s">
        <v>108</v>
      </c>
      <c r="AW12" s="60" t="s">
        <v>108</v>
      </c>
      <c r="AY12" s="16">
        <f>125+158</f>
        <v>283</v>
      </c>
      <c r="BA12" s="16">
        <f>110+147</f>
        <v>257</v>
      </c>
      <c r="BC12" s="16">
        <f>108+133</f>
        <v>241</v>
      </c>
      <c r="BD12" s="19"/>
      <c r="BE12" s="16">
        <f>89+104</f>
        <v>193</v>
      </c>
      <c r="BF12" s="19"/>
      <c r="BG12" s="16">
        <f>109+129</f>
        <v>238</v>
      </c>
      <c r="BI12" s="16">
        <f>97+118</f>
        <v>215</v>
      </c>
      <c r="BJ12" s="19"/>
      <c r="BK12" s="16">
        <f>80+85</f>
        <v>165</v>
      </c>
      <c r="BM12" s="16">
        <f>68+60</f>
        <v>128</v>
      </c>
      <c r="BN12" s="19"/>
      <c r="BO12" s="16">
        <f>114+119</f>
        <v>233</v>
      </c>
      <c r="BP12" s="19"/>
      <c r="BQ12" s="16">
        <f>45+48</f>
        <v>93</v>
      </c>
      <c r="BR12" s="19"/>
      <c r="BS12" s="16">
        <f>96+100</f>
        <v>196</v>
      </c>
      <c r="BT12" s="19"/>
      <c r="BU12" s="16">
        <f>157+189</f>
        <v>346</v>
      </c>
      <c r="BV12" s="19"/>
      <c r="BW12" s="56">
        <f>278+323</f>
        <v>601</v>
      </c>
      <c r="BY12" s="16"/>
      <c r="CA12" s="16"/>
      <c r="CC12" s="16"/>
      <c r="CE12" s="55">
        <f t="shared" si="0"/>
        <v>601</v>
      </c>
      <c r="CV12" s="11"/>
      <c r="CW12" s="11"/>
      <c r="CX12" s="11"/>
      <c r="CY12" s="11"/>
      <c r="CZ12" s="11"/>
      <c r="DA12" s="11"/>
    </row>
    <row r="13" spans="1:105" x14ac:dyDescent="0.2">
      <c r="A13" s="9" t="s">
        <v>55</v>
      </c>
      <c r="C13" s="16">
        <f>263+202</f>
        <v>465</v>
      </c>
      <c r="E13" s="16">
        <f>94+97</f>
        <v>191</v>
      </c>
      <c r="G13" s="16">
        <f>7+5</f>
        <v>12</v>
      </c>
      <c r="I13" s="16">
        <f>1+1</f>
        <v>2</v>
      </c>
      <c r="K13" s="16">
        <f>5+4</f>
        <v>9</v>
      </c>
      <c r="M13" s="16">
        <f>1+1</f>
        <v>2</v>
      </c>
      <c r="O13" s="16">
        <v>2</v>
      </c>
      <c r="Q13" s="16">
        <f>1+1</f>
        <v>2</v>
      </c>
      <c r="S13" s="16">
        <f>233+174</f>
        <v>407</v>
      </c>
      <c r="U13" s="16">
        <f>131+117</f>
        <v>248</v>
      </c>
      <c r="W13" s="16">
        <f>2+1</f>
        <v>3</v>
      </c>
      <c r="Y13" s="16">
        <f>1+1</f>
        <v>2</v>
      </c>
      <c r="AA13" s="16">
        <f>4+4</f>
        <v>8</v>
      </c>
      <c r="AC13" s="16">
        <v>1</v>
      </c>
      <c r="AE13" s="16">
        <f>260+196</f>
        <v>456</v>
      </c>
      <c r="AG13" s="16">
        <f>106+101</f>
        <v>207</v>
      </c>
      <c r="AI13" s="16">
        <f>285+211</f>
        <v>496</v>
      </c>
      <c r="AK13" s="16">
        <f>86+96</f>
        <v>182</v>
      </c>
      <c r="AM13" s="16">
        <f>205+166</f>
        <v>371</v>
      </c>
      <c r="AO13" s="16">
        <f>217+162</f>
        <v>379</v>
      </c>
      <c r="AQ13" s="16">
        <f>151+119</f>
        <v>270</v>
      </c>
      <c r="AS13" s="16"/>
      <c r="AU13" s="16"/>
      <c r="AW13" s="16"/>
      <c r="AY13" s="16">
        <f>175+143</f>
        <v>318</v>
      </c>
      <c r="BA13" s="16">
        <f>157+133</f>
        <v>290</v>
      </c>
      <c r="BC13" s="16">
        <f>159+124</f>
        <v>283</v>
      </c>
      <c r="BD13" s="19"/>
      <c r="BE13" s="16">
        <f>126+91</f>
        <v>217</v>
      </c>
      <c r="BF13" s="19"/>
      <c r="BG13" s="16">
        <f>160+121</f>
        <v>281</v>
      </c>
      <c r="BI13" s="16">
        <f>158+128</f>
        <v>286</v>
      </c>
      <c r="BJ13" s="19"/>
      <c r="BK13" s="16">
        <f>110+88</f>
        <v>198</v>
      </c>
      <c r="BM13" s="16">
        <f>93+57</f>
        <v>150</v>
      </c>
      <c r="BN13" s="19"/>
      <c r="BO13" s="16">
        <f>143+116</f>
        <v>259</v>
      </c>
      <c r="BP13" s="35"/>
      <c r="BQ13" s="16">
        <f>64+49</f>
        <v>113</v>
      </c>
      <c r="BR13" s="19"/>
      <c r="BS13" s="16">
        <f>129+99</f>
        <v>228</v>
      </c>
      <c r="BT13" s="19"/>
      <c r="BU13" s="16">
        <f>201+173</f>
        <v>374</v>
      </c>
      <c r="BV13" s="19"/>
      <c r="BW13" s="56">
        <f>384+321</f>
        <v>705</v>
      </c>
      <c r="BY13" s="16"/>
      <c r="CA13" s="16"/>
      <c r="CC13" s="16"/>
      <c r="CE13" s="55">
        <f t="shared" si="0"/>
        <v>705</v>
      </c>
      <c r="CV13" s="11"/>
      <c r="CW13" s="11"/>
      <c r="CX13" s="11"/>
      <c r="CY13" s="11"/>
      <c r="CZ13" s="11"/>
      <c r="DA13" s="11"/>
    </row>
    <row r="14" spans="1:105" x14ac:dyDescent="0.2">
      <c r="A14" s="9" t="s">
        <v>56</v>
      </c>
      <c r="C14" s="16">
        <f>148+124</f>
        <v>272</v>
      </c>
      <c r="E14" s="16">
        <f>103+91</f>
        <v>194</v>
      </c>
      <c r="G14" s="16">
        <f>6+4</f>
        <v>10</v>
      </c>
      <c r="I14" s="16">
        <v>1</v>
      </c>
      <c r="K14" s="16">
        <v>2</v>
      </c>
      <c r="M14" s="16">
        <f>2+3</f>
        <v>5</v>
      </c>
      <c r="O14" s="16">
        <v>1</v>
      </c>
      <c r="Q14" s="16">
        <v>1</v>
      </c>
      <c r="S14" s="16">
        <f>128+112</f>
        <v>240</v>
      </c>
      <c r="U14" s="16">
        <f>125+106</f>
        <v>231</v>
      </c>
      <c r="W14" s="16">
        <f>2+1</f>
        <v>3</v>
      </c>
      <c r="Y14" s="16">
        <f>1+1</f>
        <v>2</v>
      </c>
      <c r="AA14" s="16">
        <f>3+2</f>
        <v>5</v>
      </c>
      <c r="AC14" s="16">
        <v>0</v>
      </c>
      <c r="AE14" s="16">
        <f>148+121</f>
        <v>269</v>
      </c>
      <c r="AG14" s="16">
        <f>109+99</f>
        <v>208</v>
      </c>
      <c r="AI14" s="16">
        <f>159+124</f>
        <v>283</v>
      </c>
      <c r="AK14" s="16">
        <f>103+100</f>
        <v>203</v>
      </c>
      <c r="AM14" s="16">
        <f>114+91</f>
        <v>205</v>
      </c>
      <c r="AO14" s="16">
        <f>112+85</f>
        <v>197</v>
      </c>
      <c r="AQ14" s="16">
        <f>96+82</f>
        <v>178</v>
      </c>
      <c r="AS14" s="16"/>
      <c r="AU14" s="16"/>
      <c r="AW14" s="16"/>
      <c r="AY14" s="16">
        <f>132+104</f>
        <v>236</v>
      </c>
      <c r="BA14" s="16">
        <f>121+93</f>
        <v>214</v>
      </c>
      <c r="BC14" s="16">
        <f>121+102</f>
        <v>223</v>
      </c>
      <c r="BD14" s="19"/>
      <c r="BE14" s="16">
        <f>74+60</f>
        <v>134</v>
      </c>
      <c r="BF14" s="19"/>
      <c r="BG14" s="16">
        <f>100+74</f>
        <v>174</v>
      </c>
      <c r="BI14" s="16">
        <f>112+89</f>
        <v>201</v>
      </c>
      <c r="BJ14" s="19"/>
      <c r="BK14" s="16">
        <f>49+35</f>
        <v>84</v>
      </c>
      <c r="BM14" s="16">
        <f>54+38</f>
        <v>92</v>
      </c>
      <c r="BN14" s="19"/>
      <c r="BO14" s="16">
        <f>80+76</f>
        <v>156</v>
      </c>
      <c r="BP14" s="35"/>
      <c r="BQ14" s="16">
        <f>46+31</f>
        <v>77</v>
      </c>
      <c r="BR14" s="19"/>
      <c r="BS14" s="16">
        <f>69+65</f>
        <v>134</v>
      </c>
      <c r="BT14" s="19"/>
      <c r="BU14" s="16">
        <f>119+106</f>
        <v>225</v>
      </c>
      <c r="BV14" s="19"/>
      <c r="BW14" s="56">
        <f>273+230</f>
        <v>503</v>
      </c>
      <c r="BY14" s="16"/>
      <c r="CA14" s="16"/>
      <c r="CC14" s="16"/>
      <c r="CE14" s="55">
        <f t="shared" si="0"/>
        <v>503</v>
      </c>
      <c r="CV14" s="11"/>
      <c r="CW14" s="11"/>
      <c r="CX14" s="11"/>
      <c r="CY14" s="11"/>
      <c r="CZ14" s="11"/>
      <c r="DA14" s="11"/>
    </row>
    <row r="15" spans="1:105" x14ac:dyDescent="0.2">
      <c r="A15" s="9" t="s">
        <v>57</v>
      </c>
      <c r="C15" s="16">
        <f>236+244</f>
        <v>480</v>
      </c>
      <c r="D15" s="37" t="s">
        <v>108</v>
      </c>
      <c r="E15" s="16">
        <f>136+132</f>
        <v>268</v>
      </c>
      <c r="G15" s="16">
        <f>4+7</f>
        <v>11</v>
      </c>
      <c r="I15" s="16">
        <v>2</v>
      </c>
      <c r="K15" s="16">
        <f>2+3</f>
        <v>5</v>
      </c>
      <c r="M15" s="16">
        <f>2+4</f>
        <v>6</v>
      </c>
      <c r="O15" s="16">
        <f>1+2</f>
        <v>3</v>
      </c>
      <c r="Q15" s="16">
        <v>1</v>
      </c>
      <c r="S15" s="16">
        <f>209+211</f>
        <v>420</v>
      </c>
      <c r="U15" s="16">
        <f>155+168</f>
        <v>323</v>
      </c>
      <c r="W15" s="16">
        <f>4+1</f>
        <v>5</v>
      </c>
      <c r="Y15" s="16">
        <v>2</v>
      </c>
      <c r="AA15" s="16">
        <f>4+6</f>
        <v>10</v>
      </c>
      <c r="AC15" s="16">
        <v>1</v>
      </c>
      <c r="AE15" s="16">
        <f>232+251</f>
        <v>483</v>
      </c>
      <c r="AG15" s="16">
        <f>137+132</f>
        <v>269</v>
      </c>
      <c r="AI15" s="16">
        <f>243+255</f>
        <v>498</v>
      </c>
      <c r="AK15" s="16">
        <f>126+130</f>
        <v>256</v>
      </c>
      <c r="AM15" s="16">
        <f>183+189</f>
        <v>372</v>
      </c>
      <c r="AO15" s="16">
        <f>189+196</f>
        <v>385</v>
      </c>
      <c r="AQ15" s="16">
        <f>129+141</f>
        <v>270</v>
      </c>
      <c r="AS15" s="16"/>
      <c r="AU15" s="16"/>
      <c r="AW15" s="16"/>
      <c r="AY15" s="16">
        <f>183+205</f>
        <v>388</v>
      </c>
      <c r="BA15" s="16">
        <f>168+185</f>
        <v>353</v>
      </c>
      <c r="BC15" s="16">
        <f>162+179</f>
        <v>341</v>
      </c>
      <c r="BD15" s="19"/>
      <c r="BE15" s="16">
        <f>122+130</f>
        <v>252</v>
      </c>
      <c r="BF15" s="19"/>
      <c r="BG15" s="16">
        <f>143+167</f>
        <v>310</v>
      </c>
      <c r="BI15" s="16">
        <f>135+146</f>
        <v>281</v>
      </c>
      <c r="BJ15" s="19"/>
      <c r="BK15" s="16">
        <f>107+110</f>
        <v>217</v>
      </c>
      <c r="BM15" s="16">
        <f>85+89</f>
        <v>174</v>
      </c>
      <c r="BN15" s="19"/>
      <c r="BO15" s="16">
        <f>136+148</f>
        <v>284</v>
      </c>
      <c r="BP15" s="19"/>
      <c r="BQ15" s="16">
        <f>77+55</f>
        <v>132</v>
      </c>
      <c r="BR15" s="19"/>
      <c r="BS15" s="16">
        <f>130+133</f>
        <v>263</v>
      </c>
      <c r="BT15" s="19"/>
      <c r="BU15" s="16">
        <f>211+220</f>
        <v>431</v>
      </c>
      <c r="BV15" s="19"/>
      <c r="BW15" s="56">
        <f>393+409</f>
        <v>802</v>
      </c>
      <c r="BY15" s="16"/>
      <c r="CA15" s="16"/>
      <c r="CC15" s="16"/>
      <c r="CE15" s="55">
        <f t="shared" si="0"/>
        <v>802</v>
      </c>
      <c r="CV15" s="11"/>
      <c r="CW15" s="11"/>
      <c r="CX15" s="11"/>
      <c r="CY15" s="11"/>
      <c r="CZ15" s="11"/>
      <c r="DA15" s="11"/>
    </row>
    <row r="16" spans="1:105" x14ac:dyDescent="0.2">
      <c r="A16" s="9" t="s">
        <v>58</v>
      </c>
      <c r="C16" s="16">
        <f>146+140</f>
        <v>286</v>
      </c>
      <c r="E16" s="16">
        <f>86+96</f>
        <v>182</v>
      </c>
      <c r="G16" s="16">
        <f>3+6</f>
        <v>9</v>
      </c>
      <c r="I16" s="16">
        <f>1+3</f>
        <v>4</v>
      </c>
      <c r="K16" s="16">
        <f>1+3</f>
        <v>4</v>
      </c>
      <c r="M16" s="16">
        <f>3+4</f>
        <v>7</v>
      </c>
      <c r="O16" s="16">
        <v>1</v>
      </c>
      <c r="Q16" s="16">
        <v>1</v>
      </c>
      <c r="S16" s="16">
        <f>134+129</f>
        <v>263</v>
      </c>
      <c r="U16" s="16">
        <f>98+105</f>
        <v>203</v>
      </c>
      <c r="W16" s="16">
        <f>3+3</f>
        <v>6</v>
      </c>
      <c r="Y16" s="16">
        <f>2+2</f>
        <v>4</v>
      </c>
      <c r="AA16" s="16">
        <f>4+7</f>
        <v>11</v>
      </c>
      <c r="AC16" s="16">
        <v>1</v>
      </c>
      <c r="AE16" s="16">
        <f>145+150</f>
        <v>295</v>
      </c>
      <c r="AG16" s="16">
        <f>90+95</f>
        <v>185</v>
      </c>
      <c r="AI16" s="16">
        <f>156+154</f>
        <v>310</v>
      </c>
      <c r="AK16" s="16">
        <f>85+93</f>
        <v>178</v>
      </c>
      <c r="AM16" s="16">
        <f>117+125</f>
        <v>242</v>
      </c>
      <c r="AO16" s="16">
        <f>119+122</f>
        <v>241</v>
      </c>
      <c r="AQ16" s="16">
        <f>90+95</f>
        <v>185</v>
      </c>
      <c r="AS16" s="16"/>
      <c r="AU16" s="16"/>
      <c r="AW16" s="16"/>
      <c r="AY16" s="16">
        <f>118+129</f>
        <v>247</v>
      </c>
      <c r="BA16" s="16">
        <f>98+116</f>
        <v>214</v>
      </c>
      <c r="BC16" s="16">
        <f>103+114</f>
        <v>217</v>
      </c>
      <c r="BD16" s="19"/>
      <c r="BE16" s="16">
        <f>84+79</f>
        <v>163</v>
      </c>
      <c r="BF16" s="19"/>
      <c r="BG16" s="16">
        <f>84+109</f>
        <v>193</v>
      </c>
      <c r="BI16" s="16">
        <f>80+91</f>
        <v>171</v>
      </c>
      <c r="BJ16" s="19"/>
      <c r="BK16" s="16">
        <f>57+74</f>
        <v>131</v>
      </c>
      <c r="BM16" s="16">
        <f>40+49</f>
        <v>89</v>
      </c>
      <c r="BN16" s="19"/>
      <c r="BO16" s="16">
        <f>98+86</f>
        <v>184</v>
      </c>
      <c r="BP16" s="19"/>
      <c r="BQ16" s="16">
        <f>25+46</f>
        <v>71</v>
      </c>
      <c r="BR16" s="19"/>
      <c r="BS16" s="16">
        <f>59+87</f>
        <v>146</v>
      </c>
      <c r="BT16" s="19"/>
      <c r="BU16" s="16">
        <f>110+106</f>
        <v>216</v>
      </c>
      <c r="BV16" s="19"/>
      <c r="BW16" s="56">
        <f>258+265</f>
        <v>523</v>
      </c>
      <c r="BY16" s="16"/>
      <c r="CA16" s="16"/>
      <c r="CC16" s="16"/>
      <c r="CE16" s="55">
        <f t="shared" si="0"/>
        <v>523</v>
      </c>
      <c r="CV16" s="11"/>
      <c r="CW16" s="11"/>
      <c r="CX16" s="11"/>
      <c r="CY16" s="11"/>
      <c r="CZ16" s="11"/>
      <c r="DA16" s="11"/>
    </row>
    <row r="17" spans="1:105" s="10" customFormat="1" x14ac:dyDescent="0.2">
      <c r="A17" s="9" t="s">
        <v>60</v>
      </c>
      <c r="C17" s="16">
        <f>224+235</f>
        <v>459</v>
      </c>
      <c r="E17" s="16">
        <f>137+127</f>
        <v>264</v>
      </c>
      <c r="G17" s="16">
        <f>7+2</f>
        <v>9</v>
      </c>
      <c r="I17" s="16">
        <v>1</v>
      </c>
      <c r="K17" s="16">
        <f>5+1</f>
        <v>6</v>
      </c>
      <c r="M17" s="16">
        <f>3+5</f>
        <v>8</v>
      </c>
      <c r="O17" s="16">
        <v>2</v>
      </c>
      <c r="Q17" s="16">
        <v>0</v>
      </c>
      <c r="S17" s="16">
        <f>187+201</f>
        <v>388</v>
      </c>
      <c r="U17" s="16">
        <f>175+163</f>
        <v>338</v>
      </c>
      <c r="W17" s="16">
        <f>6+2</f>
        <v>8</v>
      </c>
      <c r="Y17" s="16">
        <v>3</v>
      </c>
      <c r="AA17" s="16">
        <f>7+1</f>
        <v>8</v>
      </c>
      <c r="AC17" s="16">
        <f>1+2</f>
        <v>3</v>
      </c>
      <c r="AE17" s="16">
        <f>232+234</f>
        <v>466</v>
      </c>
      <c r="AG17" s="16">
        <f>146+133</f>
        <v>279</v>
      </c>
      <c r="AI17" s="16">
        <f>241+251</f>
        <v>492</v>
      </c>
      <c r="AK17" s="16">
        <f>132+124</f>
        <v>256</v>
      </c>
      <c r="AM17" s="16">
        <f>188+171</f>
        <v>359</v>
      </c>
      <c r="AO17" s="16">
        <f>185+174</f>
        <v>359</v>
      </c>
      <c r="AQ17" s="16">
        <f>137+135</f>
        <v>272</v>
      </c>
      <c r="AS17" s="16"/>
      <c r="AU17" s="16"/>
      <c r="AW17" s="16"/>
      <c r="AY17" s="16">
        <f>183+197</f>
        <v>380</v>
      </c>
      <c r="BA17" s="16">
        <f>183+189</f>
        <v>372</v>
      </c>
      <c r="BC17" s="16">
        <f>172+170</f>
        <v>342</v>
      </c>
      <c r="BD17" s="19"/>
      <c r="BE17" s="16">
        <f>134+123</f>
        <v>257</v>
      </c>
      <c r="BF17" s="19"/>
      <c r="BG17" s="16">
        <f>167+156</f>
        <v>323</v>
      </c>
      <c r="BH17" s="33"/>
      <c r="BI17" s="16">
        <f>133+126</f>
        <v>259</v>
      </c>
      <c r="BK17" s="16">
        <f>105+111</f>
        <v>216</v>
      </c>
      <c r="BL17" s="33"/>
      <c r="BM17" s="16">
        <f>92+89</f>
        <v>181</v>
      </c>
      <c r="BN17" s="19"/>
      <c r="BO17" s="16">
        <f>159+138</f>
        <v>297</v>
      </c>
      <c r="BP17" s="19"/>
      <c r="BQ17" s="16">
        <f>60+58</f>
        <v>118</v>
      </c>
      <c r="BR17" s="19"/>
      <c r="BS17" s="16">
        <f>87+105</f>
        <v>192</v>
      </c>
      <c r="BT17" s="19"/>
      <c r="BU17" s="16">
        <f>175+186</f>
        <v>361</v>
      </c>
      <c r="BV17" s="19"/>
      <c r="BW17" s="56">
        <f>395+392</f>
        <v>787</v>
      </c>
      <c r="BX17" s="20"/>
      <c r="BY17" s="16"/>
      <c r="BZ17" s="20"/>
      <c r="CA17" s="16"/>
      <c r="CB17" s="20"/>
      <c r="CC17" s="16"/>
      <c r="CD17" s="20"/>
      <c r="CE17" s="55">
        <f t="shared" si="0"/>
        <v>787</v>
      </c>
      <c r="CU17" s="20"/>
    </row>
    <row r="18" spans="1:105" ht="13.5" thickBot="1" x14ac:dyDescent="0.25">
      <c r="C18" s="19"/>
      <c r="E18" s="19"/>
      <c r="G18" s="19"/>
      <c r="I18" s="19"/>
      <c r="K18" s="19"/>
      <c r="M18" s="19"/>
      <c r="O18" s="19"/>
      <c r="Q18" s="19"/>
      <c r="S18" s="19"/>
      <c r="U18" s="19"/>
      <c r="W18" s="19"/>
      <c r="Y18" s="19"/>
      <c r="AA18" s="19"/>
      <c r="AC18" s="19"/>
      <c r="AE18" s="19"/>
      <c r="AG18" s="19"/>
      <c r="AI18" s="19"/>
      <c r="AK18" s="19"/>
      <c r="AM18" s="19"/>
      <c r="AO18" s="19"/>
      <c r="AQ18" s="19"/>
      <c r="AS18" s="19"/>
      <c r="AU18" s="19"/>
      <c r="AW18" s="19"/>
      <c r="AY18" s="19"/>
      <c r="BA18" s="19"/>
      <c r="BC18" s="19"/>
      <c r="BD18" s="19"/>
      <c r="BE18" s="19"/>
      <c r="BF18" s="19"/>
      <c r="BG18" s="19"/>
      <c r="BI18" s="19"/>
      <c r="BJ18" s="19"/>
      <c r="BK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CV18" s="11"/>
      <c r="CW18" s="11"/>
      <c r="CX18" s="11"/>
      <c r="CY18" s="11"/>
      <c r="CZ18" s="11"/>
      <c r="DA18" s="11"/>
    </row>
    <row r="19" spans="1:105" s="48" customFormat="1" ht="13.5" thickBot="1" x14ac:dyDescent="0.25">
      <c r="A19" s="3" t="s">
        <v>24</v>
      </c>
      <c r="C19" s="41">
        <f>+SUM(C11:C17)</f>
        <v>2857</v>
      </c>
      <c r="E19" s="41">
        <f>+SUM(E11:E17)</f>
        <v>1507</v>
      </c>
      <c r="G19" s="41">
        <f>+SUM(G11:G17)</f>
        <v>76</v>
      </c>
      <c r="I19" s="41">
        <f>+SUM(I11:I17)</f>
        <v>15</v>
      </c>
      <c r="K19" s="41">
        <f>+SUM(K11:K17)</f>
        <v>40</v>
      </c>
      <c r="M19" s="41">
        <f>+SUM(M11:M17)</f>
        <v>35</v>
      </c>
      <c r="O19" s="41">
        <f>+SUM(O11:O17)</f>
        <v>12</v>
      </c>
      <c r="Q19" s="41">
        <f>+SUM(Q11:Q17)</f>
        <v>5</v>
      </c>
      <c r="S19" s="41">
        <f>+SUM(S11:S17)</f>
        <v>2490</v>
      </c>
      <c r="U19" s="41">
        <f>+SUM(U11:U17)</f>
        <v>1877</v>
      </c>
      <c r="W19" s="41">
        <f>+SUM(W11:W17)</f>
        <v>36</v>
      </c>
      <c r="Y19" s="41">
        <f>+SUM(Y11:Y17)</f>
        <v>17</v>
      </c>
      <c r="AA19" s="41">
        <f>+SUM(AA11:AA17)</f>
        <v>57</v>
      </c>
      <c r="AC19" s="41">
        <f>+SUM(AC11:AC17)</f>
        <v>9</v>
      </c>
      <c r="AE19" s="41">
        <f>+SUM(AE11:AE17)</f>
        <v>2878</v>
      </c>
      <c r="AG19" s="41">
        <f>+SUM(AG11:AG17)</f>
        <v>1559</v>
      </c>
      <c r="AI19" s="41">
        <f>+SUM(AI11:AI17)</f>
        <v>3043</v>
      </c>
      <c r="AK19" s="41">
        <f>+SUM(AK11:AK17)</f>
        <v>1457</v>
      </c>
      <c r="AM19" s="41">
        <f>+SUM(AM11:AM17)</f>
        <v>2229</v>
      </c>
      <c r="AO19" s="41">
        <f>+SUM(AO11:AO17)</f>
        <v>2263</v>
      </c>
      <c r="AQ19" s="41">
        <f>+SUM(AQ11:AQ17)</f>
        <v>1694</v>
      </c>
      <c r="AS19" s="41">
        <f>+SUM(AS11:AS17)</f>
        <v>0</v>
      </c>
      <c r="AU19" s="41">
        <f>+SUM(AU11:AU17)</f>
        <v>0</v>
      </c>
      <c r="AW19" s="41">
        <f>+SUM(AW11:AW17)</f>
        <v>0</v>
      </c>
      <c r="AY19" s="41">
        <f>+SUM(AY11:AY17)</f>
        <v>2245</v>
      </c>
      <c r="BA19" s="41">
        <f>+SUM(BA11:BA17)</f>
        <v>2062</v>
      </c>
      <c r="BC19" s="41">
        <f>+SUM(BC11:BC17)</f>
        <v>2005</v>
      </c>
      <c r="BD19" s="57"/>
      <c r="BE19" s="41">
        <f>+SUM(BE11:BE17)</f>
        <v>1439</v>
      </c>
      <c r="BF19" s="57"/>
      <c r="BG19" s="41">
        <f>+SUM(BG11:BG17)</f>
        <v>1863</v>
      </c>
      <c r="BH19" s="43"/>
      <c r="BI19" s="41">
        <f>+SUM(BI11:BI17)</f>
        <v>1684</v>
      </c>
      <c r="BJ19" s="42"/>
      <c r="BK19" s="41">
        <f>+SUM(BK11:BK17)</f>
        <v>1189</v>
      </c>
      <c r="BL19" s="43"/>
      <c r="BM19" s="41">
        <f>+SUM(BM11:BM17)</f>
        <v>1004</v>
      </c>
      <c r="BN19" s="42"/>
      <c r="BO19" s="41">
        <f>+SUM(BO11:BO17)</f>
        <v>1752</v>
      </c>
      <c r="BP19" s="42"/>
      <c r="BQ19" s="41">
        <f>+SUM(BQ11:BQ17)</f>
        <v>740</v>
      </c>
      <c r="BR19" s="42"/>
      <c r="BS19" s="41">
        <f>+SUM(BS11:BS17)</f>
        <v>1382</v>
      </c>
      <c r="BT19" s="42"/>
      <c r="BU19" s="41">
        <f>+SUM(BU11:BU17)</f>
        <v>2436</v>
      </c>
      <c r="BV19" s="42"/>
      <c r="BW19" s="41">
        <f>+SUM(BW11:BW17)</f>
        <v>4734</v>
      </c>
      <c r="BX19" s="42"/>
      <c r="BY19" s="41">
        <f>+SUM(BY11:BY17)</f>
        <v>620</v>
      </c>
      <c r="BZ19" s="42"/>
      <c r="CA19" s="41">
        <f>+SUM(CA11:CA17)</f>
        <v>91</v>
      </c>
      <c r="CB19" s="42"/>
      <c r="CC19" s="41">
        <f>+SUM(CC11:CC17)</f>
        <v>0</v>
      </c>
      <c r="CD19" s="42"/>
      <c r="CE19" s="41">
        <f>+SUM(CE11:CE17)</f>
        <v>5445</v>
      </c>
      <c r="CU19" s="42"/>
    </row>
    <row r="20" spans="1:105" x14ac:dyDescent="0.2">
      <c r="A20" s="36" t="s">
        <v>73</v>
      </c>
      <c r="C20" s="19">
        <v>364</v>
      </c>
      <c r="D20" s="19"/>
      <c r="E20" s="19">
        <v>220</v>
      </c>
      <c r="F20" s="19"/>
      <c r="G20" s="19">
        <v>11</v>
      </c>
      <c r="H20" s="19"/>
      <c r="I20" s="19">
        <v>0</v>
      </c>
      <c r="J20" s="19"/>
      <c r="K20" s="19">
        <v>3</v>
      </c>
      <c r="L20" s="19"/>
      <c r="M20" s="19">
        <v>3</v>
      </c>
      <c r="N20" s="19"/>
      <c r="O20" s="19">
        <v>0</v>
      </c>
      <c r="P20" s="19"/>
      <c r="Q20" s="19">
        <v>2</v>
      </c>
      <c r="R20" s="19"/>
      <c r="S20" s="19">
        <v>317</v>
      </c>
      <c r="T20" s="19"/>
      <c r="U20" s="19">
        <v>266</v>
      </c>
      <c r="V20" s="19"/>
      <c r="W20" s="19">
        <v>4</v>
      </c>
      <c r="X20" s="19"/>
      <c r="Y20" s="19">
        <v>2</v>
      </c>
      <c r="Z20" s="19"/>
      <c r="AA20" s="19">
        <v>1</v>
      </c>
      <c r="AB20" s="19"/>
      <c r="AC20" s="19">
        <v>1</v>
      </c>
      <c r="AD20" s="19"/>
      <c r="AE20" s="19">
        <v>361</v>
      </c>
      <c r="AF20" s="19"/>
      <c r="AG20" s="19">
        <v>229</v>
      </c>
      <c r="AH20" s="19"/>
      <c r="AI20" s="19">
        <v>393</v>
      </c>
      <c r="AJ20" s="19"/>
      <c r="AK20" s="19">
        <v>205</v>
      </c>
      <c r="AL20" s="19"/>
      <c r="AM20" s="19">
        <v>305</v>
      </c>
      <c r="AN20" s="19"/>
      <c r="AO20" s="19">
        <v>304</v>
      </c>
      <c r="AP20" s="19"/>
      <c r="AQ20" s="19">
        <v>229</v>
      </c>
      <c r="AR20" s="19"/>
      <c r="AS20" s="19"/>
      <c r="AU20" s="19"/>
      <c r="AV20" s="19"/>
      <c r="AW20" s="19"/>
      <c r="AX20" s="19"/>
      <c r="AY20" s="19">
        <v>304</v>
      </c>
      <c r="AZ20" s="19"/>
      <c r="BA20" s="19">
        <v>254</v>
      </c>
      <c r="BC20" s="19">
        <v>256</v>
      </c>
      <c r="BD20" s="19"/>
      <c r="BE20" s="19">
        <v>214</v>
      </c>
      <c r="BF20" s="19"/>
      <c r="BG20" s="19">
        <v>252</v>
      </c>
      <c r="BH20" s="19"/>
      <c r="BI20" s="19">
        <v>247</v>
      </c>
      <c r="BJ20" s="19"/>
      <c r="BK20" s="19">
        <v>185</v>
      </c>
      <c r="BL20" s="19"/>
      <c r="BM20" s="19">
        <v>130</v>
      </c>
      <c r="BN20" s="19"/>
      <c r="BO20" s="19">
        <v>274</v>
      </c>
      <c r="BP20" s="19"/>
      <c r="BQ20" s="19">
        <v>103</v>
      </c>
      <c r="BR20" s="19"/>
      <c r="BS20" s="19">
        <v>332</v>
      </c>
      <c r="BT20" s="19"/>
      <c r="BU20" s="19">
        <v>212</v>
      </c>
      <c r="BV20" s="19"/>
      <c r="CV20" s="11"/>
      <c r="CW20" s="11"/>
      <c r="CX20" s="11"/>
      <c r="CY20" s="11"/>
      <c r="CZ20" s="11"/>
      <c r="DA20" s="11"/>
    </row>
    <row r="21" spans="1:105" x14ac:dyDescent="0.2">
      <c r="A21" s="4" t="s">
        <v>25</v>
      </c>
      <c r="C21" s="19">
        <v>52</v>
      </c>
      <c r="D21" s="19"/>
      <c r="E21" s="19">
        <v>25</v>
      </c>
      <c r="F21" s="19"/>
      <c r="G21" s="19">
        <v>2</v>
      </c>
      <c r="H21" s="19"/>
      <c r="I21" s="19">
        <v>0</v>
      </c>
      <c r="J21" s="19"/>
      <c r="K21" s="19">
        <v>0</v>
      </c>
      <c r="L21" s="19"/>
      <c r="M21" s="19">
        <v>1</v>
      </c>
      <c r="N21" s="19"/>
      <c r="O21" s="19">
        <v>0</v>
      </c>
      <c r="P21" s="19"/>
      <c r="Q21" s="19">
        <v>0</v>
      </c>
      <c r="R21" s="19"/>
      <c r="S21" s="19">
        <v>44</v>
      </c>
      <c r="T21" s="19"/>
      <c r="U21" s="19">
        <v>31</v>
      </c>
      <c r="V21" s="19"/>
      <c r="W21" s="19">
        <v>2</v>
      </c>
      <c r="X21" s="19"/>
      <c r="Y21" s="19">
        <v>0</v>
      </c>
      <c r="Z21" s="19"/>
      <c r="AA21" s="19">
        <v>0</v>
      </c>
      <c r="AB21" s="19"/>
      <c r="AC21" s="19">
        <v>0</v>
      </c>
      <c r="AD21" s="35" t="s">
        <v>108</v>
      </c>
      <c r="AE21" s="19">
        <v>52</v>
      </c>
      <c r="AF21" s="19"/>
      <c r="AG21" s="19">
        <v>28</v>
      </c>
      <c r="AH21" s="19"/>
      <c r="AI21" s="19">
        <v>58</v>
      </c>
      <c r="AJ21" s="19"/>
      <c r="AK21" s="19">
        <v>22</v>
      </c>
      <c r="AL21" s="19"/>
      <c r="AM21" s="19">
        <v>42</v>
      </c>
      <c r="AN21" s="19"/>
      <c r="AO21" s="19">
        <v>46</v>
      </c>
      <c r="AP21" s="19"/>
      <c r="AQ21" s="19">
        <v>37</v>
      </c>
      <c r="AR21" s="19"/>
      <c r="AS21" s="19"/>
      <c r="AU21" s="19"/>
      <c r="AV21" s="19"/>
      <c r="AW21" s="19"/>
      <c r="AX21" s="19"/>
      <c r="AY21" s="19">
        <v>41</v>
      </c>
      <c r="AZ21" s="19"/>
      <c r="BA21" s="19">
        <v>34</v>
      </c>
      <c r="BC21" s="19">
        <v>31</v>
      </c>
      <c r="BD21" s="19"/>
      <c r="BE21" s="19">
        <v>21</v>
      </c>
      <c r="BF21" s="19"/>
      <c r="BG21" s="19">
        <v>33</v>
      </c>
      <c r="BH21" s="19"/>
      <c r="BI21" s="19">
        <v>28</v>
      </c>
      <c r="BJ21" s="19"/>
      <c r="BK21" s="19">
        <v>17</v>
      </c>
      <c r="BL21" s="19"/>
      <c r="BM21" s="19">
        <v>19</v>
      </c>
      <c r="BN21" s="19"/>
      <c r="BO21" s="19">
        <v>31</v>
      </c>
      <c r="BP21" s="19"/>
      <c r="BQ21" s="19">
        <v>15</v>
      </c>
      <c r="BR21" s="19"/>
      <c r="BS21" s="19">
        <v>21</v>
      </c>
      <c r="BT21" s="19"/>
      <c r="BU21" s="19">
        <v>46</v>
      </c>
      <c r="BV21" s="19"/>
      <c r="CV21" s="11"/>
      <c r="CW21" s="11"/>
      <c r="CX21" s="11"/>
      <c r="CY21" s="11"/>
      <c r="CZ21" s="11"/>
      <c r="DA21" s="11"/>
    </row>
    <row r="22" spans="1:105" ht="13.5" thickBot="1" x14ac:dyDescent="0.25">
      <c r="A22" s="4" t="s">
        <v>79</v>
      </c>
      <c r="C22" s="19">
        <v>0</v>
      </c>
      <c r="D22" s="19"/>
      <c r="E22" s="19">
        <v>3</v>
      </c>
      <c r="F22" s="19"/>
      <c r="G22" s="19">
        <v>0</v>
      </c>
      <c r="H22" s="19"/>
      <c r="I22" s="19">
        <v>0</v>
      </c>
      <c r="J22" s="19"/>
      <c r="K22" s="19">
        <v>0</v>
      </c>
      <c r="L22" s="19"/>
      <c r="M22" s="19">
        <v>0</v>
      </c>
      <c r="N22" s="19"/>
      <c r="O22" s="19">
        <v>0</v>
      </c>
      <c r="P22" s="19"/>
      <c r="Q22" s="19">
        <v>0</v>
      </c>
      <c r="R22" s="19"/>
      <c r="S22" s="19">
        <v>1</v>
      </c>
      <c r="T22" s="19"/>
      <c r="U22" s="19">
        <v>2</v>
      </c>
      <c r="V22" s="19"/>
      <c r="W22" s="19">
        <v>0</v>
      </c>
      <c r="X22" s="19"/>
      <c r="Y22" s="19">
        <v>0</v>
      </c>
      <c r="Z22" s="19"/>
      <c r="AA22" s="19">
        <v>0</v>
      </c>
      <c r="AB22" s="19"/>
      <c r="AC22" s="19">
        <v>0</v>
      </c>
      <c r="AD22" s="19"/>
      <c r="AE22" s="19">
        <v>0</v>
      </c>
      <c r="AF22" s="19"/>
      <c r="AG22" s="19">
        <v>2</v>
      </c>
      <c r="AH22" s="19"/>
      <c r="AI22" s="19">
        <v>0</v>
      </c>
      <c r="AJ22" s="19"/>
      <c r="AK22" s="19">
        <v>3</v>
      </c>
      <c r="AL22" s="19"/>
      <c r="AM22" s="19">
        <v>0</v>
      </c>
      <c r="AN22" s="19"/>
      <c r="AO22" s="19">
        <v>0</v>
      </c>
      <c r="AP22" s="19"/>
      <c r="AQ22" s="19">
        <v>0</v>
      </c>
      <c r="AR22" s="19"/>
      <c r="AS22" s="35" t="s">
        <v>108</v>
      </c>
      <c r="AU22" s="35" t="s">
        <v>108</v>
      </c>
      <c r="AV22" s="19"/>
      <c r="AW22" s="35" t="s">
        <v>108</v>
      </c>
      <c r="AX22" s="19"/>
      <c r="AY22" s="19">
        <v>0</v>
      </c>
      <c r="AZ22" s="19"/>
      <c r="BA22" s="19">
        <v>0</v>
      </c>
      <c r="BC22" s="19">
        <v>0</v>
      </c>
      <c r="BD22" s="19"/>
      <c r="BE22" s="19">
        <v>0</v>
      </c>
      <c r="BF22" s="19"/>
      <c r="BG22" s="19">
        <v>0</v>
      </c>
      <c r="BH22" s="19"/>
      <c r="BI22" s="19">
        <v>0</v>
      </c>
      <c r="BJ22" s="19"/>
      <c r="BK22" s="19">
        <v>0</v>
      </c>
      <c r="BL22" s="19"/>
      <c r="BM22" s="19">
        <v>0</v>
      </c>
      <c r="BN22" s="19"/>
      <c r="BO22" s="19">
        <v>0</v>
      </c>
      <c r="BP22" s="19"/>
      <c r="BQ22" s="19">
        <v>0</v>
      </c>
      <c r="BR22" s="19"/>
      <c r="BS22" s="19">
        <v>1</v>
      </c>
      <c r="BT22" s="19"/>
      <c r="BU22" s="19">
        <v>1</v>
      </c>
      <c r="BV22" s="19"/>
      <c r="CV22" s="11"/>
      <c r="CW22" s="11"/>
      <c r="CX22" s="11"/>
      <c r="CY22" s="11"/>
      <c r="CZ22" s="11"/>
      <c r="DA22" s="11"/>
    </row>
    <row r="23" spans="1:105" s="48" customFormat="1" ht="13.5" thickBot="1" x14ac:dyDescent="0.25">
      <c r="A23" s="3" t="s">
        <v>26</v>
      </c>
      <c r="C23" s="41">
        <f>+SUM(C19:C22)</f>
        <v>3273</v>
      </c>
      <c r="E23" s="41">
        <f>+SUM(E19:E22)</f>
        <v>1755</v>
      </c>
      <c r="G23" s="41">
        <f>+SUM(G19:G22)</f>
        <v>89</v>
      </c>
      <c r="I23" s="41">
        <f>+SUM(I19:I22)</f>
        <v>15</v>
      </c>
      <c r="K23" s="41">
        <f>+SUM(K19:K22)</f>
        <v>43</v>
      </c>
      <c r="M23" s="41">
        <f>+SUM(M19:M22)</f>
        <v>39</v>
      </c>
      <c r="O23" s="41">
        <f>+SUM(O19:O22)</f>
        <v>12</v>
      </c>
      <c r="Q23" s="41">
        <f>+SUM(Q19:Q22)</f>
        <v>7</v>
      </c>
      <c r="S23" s="41">
        <f>+SUM(S19:S22)</f>
        <v>2852</v>
      </c>
      <c r="U23" s="41">
        <f>+SUM(U19:U22)</f>
        <v>2176</v>
      </c>
      <c r="W23" s="41">
        <f>+SUM(W19:W22)</f>
        <v>42</v>
      </c>
      <c r="Y23" s="41">
        <f>+SUM(Y19:Y22)</f>
        <v>19</v>
      </c>
      <c r="AA23" s="41">
        <f>+SUM(AA19:AA22)</f>
        <v>58</v>
      </c>
      <c r="AC23" s="41">
        <f>+SUM(AC19:AC22)</f>
        <v>10</v>
      </c>
      <c r="AE23" s="41">
        <f>+SUM(AE19:AE22)</f>
        <v>3291</v>
      </c>
      <c r="AG23" s="41">
        <f>+SUM(AG19:AG22)</f>
        <v>1818</v>
      </c>
      <c r="AI23" s="41">
        <f>+SUM(AI19:AI22)</f>
        <v>3494</v>
      </c>
      <c r="AK23" s="41">
        <f>+SUM(AK19:AK22)</f>
        <v>1687</v>
      </c>
      <c r="AM23" s="41">
        <f>+SUM(AM19:AM22)</f>
        <v>2576</v>
      </c>
      <c r="AO23" s="41">
        <f>+SUM(AO19:AO22)</f>
        <v>2613</v>
      </c>
      <c r="AQ23" s="41">
        <f>+SUM(AQ19:AQ22)</f>
        <v>1960</v>
      </c>
      <c r="AS23" s="41">
        <f>+SUM(AS19:AS22)</f>
        <v>0</v>
      </c>
      <c r="AU23" s="41">
        <f>+SUM(AU19:AU22)</f>
        <v>0</v>
      </c>
      <c r="AW23" s="41">
        <f>+SUM(AW19:AW22)</f>
        <v>0</v>
      </c>
      <c r="AY23" s="41">
        <f>+SUM(AY19:AY22)</f>
        <v>2590</v>
      </c>
      <c r="BA23" s="41">
        <f>+SUM(BA19:BA22)</f>
        <v>2350</v>
      </c>
      <c r="BC23" s="41">
        <f>+SUM(BC19:BC22)</f>
        <v>2292</v>
      </c>
      <c r="BD23" s="57"/>
      <c r="BE23" s="41">
        <f>+SUM(BE19:BE22)</f>
        <v>1674</v>
      </c>
      <c r="BF23" s="57"/>
      <c r="BG23" s="41">
        <f>+SUM(BG19:BG22)</f>
        <v>2148</v>
      </c>
      <c r="BH23" s="43"/>
      <c r="BI23" s="41">
        <f>+SUM(BI19:BI22)</f>
        <v>1959</v>
      </c>
      <c r="BJ23" s="42"/>
      <c r="BK23" s="41">
        <f>+SUM(BK19:BK22)</f>
        <v>1391</v>
      </c>
      <c r="BL23" s="43"/>
      <c r="BM23" s="41">
        <f>+SUM(BM19:BM22)</f>
        <v>1153</v>
      </c>
      <c r="BN23" s="42"/>
      <c r="BO23" s="41">
        <f>+SUM(BO19:BO22)</f>
        <v>2057</v>
      </c>
      <c r="BP23" s="42"/>
      <c r="BQ23" s="41">
        <f>+SUM(BQ19:BQ22)</f>
        <v>858</v>
      </c>
      <c r="BR23" s="42"/>
      <c r="BS23" s="41">
        <f>+SUM(BS19:BS22)</f>
        <v>1736</v>
      </c>
      <c r="BT23" s="42"/>
      <c r="BU23" s="41">
        <f>+SUM(BU19:BU22)</f>
        <v>2695</v>
      </c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U23" s="42"/>
    </row>
    <row r="24" spans="1:105" x14ac:dyDescent="0.2">
      <c r="AC24" s="19"/>
      <c r="AE24" s="19"/>
      <c r="AG24" s="19"/>
      <c r="AI24" s="19"/>
      <c r="AK24" s="19"/>
      <c r="AM24" s="19"/>
      <c r="AO24" s="19"/>
      <c r="AQ24" s="19"/>
      <c r="AS24" s="19"/>
      <c r="AU24" s="19"/>
      <c r="AW24" s="19"/>
      <c r="AY24" s="19"/>
      <c r="BA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</row>
  </sheetData>
  <customSheetViews>
    <customSheetView guid="{E44E71C3-F2DB-4787-90CC-B0F1BDA00262}" scale="75" showPageBreaks="1" printArea="1" view="pageBreakPreview">
      <pane xSplit="1" ySplit="2" topLeftCell="L3" activePane="bottomRight" state="frozen"/>
      <selection pane="bottomRight" activeCell="AW18" sqref="AW18:BC20"/>
      <colBreaks count="3" manualBreakCount="3">
        <brk id="25" max="1048575" man="1"/>
        <brk id="55" max="1048575" man="1"/>
        <brk id="67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&amp;C&amp;"Arial,Bold"&amp;11Town of Hammonton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AM6" activePane="bottomRight" state="frozen"/>
      <selection pane="bottomRight" activeCell="BF17" sqref="BF17"/>
      <colBreaks count="3" manualBreakCount="3">
        <brk id="25" max="1048575" man="1"/>
        <brk id="55" max="1048575" man="1"/>
        <brk id="67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&amp;C&amp;"Arial,Bold"&amp;11Town of Hammonton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AD6" activePane="bottomRight" state="frozen"/>
      <selection pane="bottomRight" activeCell="BI7" sqref="BI7"/>
      <colBreaks count="3" manualBreakCount="3">
        <brk id="25" max="1048575" man="1"/>
        <brk id="55" max="1048575" man="1"/>
        <brk id="67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&amp;C&amp;"Arial,Bold"&amp;11Town of Hammonton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AM6" activePane="bottomRight" state="frozen"/>
      <selection pane="bottomRight" activeCell="BF17" sqref="BF17"/>
      <colBreaks count="4" manualBreakCount="4">
        <brk id="25" max="1048575" man="1"/>
        <brk id="54" max="17" man="1"/>
        <brk id="55" max="1048575" man="1"/>
        <brk id="67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&amp;C&amp;"Arial,Bold"&amp;11Town of Hammonton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AM6" activePane="bottomRight" state="frozen"/>
      <selection pane="bottomRight" activeCell="BF17" sqref="BF17"/>
      <colBreaks count="3" manualBreakCount="3">
        <brk id="25" max="1048575" man="1"/>
        <brk id="55" max="1048575" man="1"/>
        <brk id="67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&amp;C&amp;"Arial,Bold"&amp;11Town of Hammonton
General Election - November 3, 2015
Prepared by the Office of Edward P. McGettigan, Atlantic County Clerk</oddHeader>
        <oddFooter>&amp;R&amp;11Page &amp;P</oddFooter>
      </headerFooter>
    </customSheetView>
  </customSheetViews>
  <mergeCells count="7">
    <mergeCell ref="BE5:BQ5"/>
    <mergeCell ref="BS5:BU5"/>
    <mergeCell ref="C5:Q5"/>
    <mergeCell ref="S5:AC5"/>
    <mergeCell ref="AE5:AG5"/>
    <mergeCell ref="AI5:AK5"/>
    <mergeCell ref="AM5:BC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&amp;C&amp;"Arial,Bold"&amp;11Town of Hammonton
General Election - November 6, 2018
Prepared by the Office of Edward P. McGettigan, Atlantic County Clerk</oddHeader>
    <oddFooter>&amp;R&amp;11Page &amp;P</oddFooter>
  </headerFooter>
  <colBreaks count="3" manualBreakCount="3">
    <brk id="29" max="22" man="1"/>
    <brk id="55" max="24" man="1"/>
    <brk id="85" max="1048575" man="1"/>
  </colBreaks>
  <drawing r:id="rId7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DH32"/>
  <sheetViews>
    <sheetView zoomScale="75" zoomScaleNormal="75" zoomScaleSheetLayoutView="75" workbookViewId="0">
      <pane xSplit="1" ySplit="10" topLeftCell="B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61" customWidth="1"/>
    <col min="2" max="2" width="1.7109375" style="37" customWidth="1"/>
    <col min="3" max="3" width="12.140625" style="63" customWidth="1"/>
    <col min="4" max="4" width="1.7109375" style="63" customWidth="1"/>
    <col min="5" max="5" width="11.42578125" style="63" customWidth="1"/>
    <col min="6" max="6" width="1.7109375" style="63" customWidth="1"/>
    <col min="7" max="7" width="15.85546875" style="63" customWidth="1"/>
    <col min="8" max="8" width="1.7109375" style="63" customWidth="1"/>
    <col min="9" max="9" width="12.140625" style="63" customWidth="1"/>
    <col min="10" max="10" width="1.7109375" style="63" customWidth="1"/>
    <col min="11" max="11" width="15.85546875" style="63" customWidth="1"/>
    <col min="12" max="12" width="1.7109375" style="63" customWidth="1"/>
    <col min="13" max="13" width="12.140625" style="63" customWidth="1"/>
    <col min="14" max="14" width="1.7109375" style="63" customWidth="1"/>
    <col min="15" max="15" width="12.7109375" style="63" customWidth="1"/>
    <col min="16" max="16" width="1.7109375" style="63" customWidth="1"/>
    <col min="17" max="17" width="13.7109375" style="63" customWidth="1"/>
    <col min="18" max="18" width="1.7109375" style="63" customWidth="1"/>
    <col min="19" max="19" width="12.85546875" style="63" customWidth="1"/>
    <col min="20" max="20" width="1.7109375" style="63" customWidth="1"/>
    <col min="21" max="21" width="10.140625" style="63" customWidth="1"/>
    <col min="22" max="22" width="1.7109375" style="63" customWidth="1"/>
    <col min="23" max="23" width="12.140625" style="63" customWidth="1"/>
    <col min="24" max="24" width="1.7109375" style="63" customWidth="1"/>
    <col min="25" max="25" width="12.140625" style="63" customWidth="1"/>
    <col min="26" max="26" width="1.7109375" style="63" customWidth="1"/>
    <col min="27" max="27" width="12.140625" style="63" customWidth="1"/>
    <col min="28" max="28" width="1.7109375" style="63" customWidth="1"/>
    <col min="29" max="29" width="11.85546875" style="63" customWidth="1"/>
    <col min="30" max="30" width="1.7109375" style="63" customWidth="1"/>
    <col min="31" max="31" width="12.140625" style="63" customWidth="1"/>
    <col min="32" max="32" width="1.7109375" style="63" customWidth="1"/>
    <col min="33" max="33" width="13.140625" style="63" customWidth="1"/>
    <col min="34" max="34" width="1.7109375" style="63" customWidth="1"/>
    <col min="35" max="35" width="12.140625" style="63" customWidth="1"/>
    <col min="36" max="36" width="1.7109375" style="63" customWidth="1"/>
    <col min="37" max="37" width="12.140625" style="63" customWidth="1"/>
    <col min="38" max="38" width="1.7109375" style="63" customWidth="1"/>
    <col min="39" max="39" width="12.140625" style="63" customWidth="1"/>
    <col min="40" max="40" width="1.7109375" style="63" customWidth="1"/>
    <col min="41" max="41" width="12.140625" style="63" customWidth="1"/>
    <col min="42" max="42" width="1.7109375" style="63" customWidth="1"/>
    <col min="43" max="43" width="12.140625" style="63" customWidth="1"/>
    <col min="44" max="44" width="1.7109375" style="63" customWidth="1"/>
    <col min="45" max="45" width="12.140625" style="63" customWidth="1"/>
    <col min="46" max="46" width="1.7109375" style="63" customWidth="1"/>
    <col min="47" max="47" width="12.140625" style="63" customWidth="1"/>
    <col min="48" max="48" width="1.7109375" style="63" customWidth="1"/>
    <col min="49" max="49" width="12.140625" style="63" customWidth="1"/>
    <col min="50" max="50" width="1.7109375" style="63" customWidth="1"/>
    <col min="51" max="51" width="12.140625" style="63" customWidth="1"/>
    <col min="52" max="52" width="1.7109375" style="63" customWidth="1"/>
    <col min="53" max="53" width="12.140625" style="63" customWidth="1"/>
    <col min="54" max="54" width="1.7109375" style="63" customWidth="1"/>
    <col min="55" max="55" width="12.140625" style="63" customWidth="1"/>
    <col min="56" max="56" width="1.7109375" style="63" customWidth="1"/>
    <col min="57" max="57" width="9.7109375" style="63" customWidth="1"/>
    <col min="58" max="58" width="1.7109375" style="63" customWidth="1"/>
    <col min="59" max="59" width="9.7109375" style="63" customWidth="1"/>
    <col min="60" max="60" width="1.7109375" style="63" customWidth="1"/>
    <col min="61" max="61" width="10.140625" style="33" customWidth="1"/>
    <col min="62" max="62" width="1.7109375" style="1" customWidth="1"/>
    <col min="63" max="63" width="10.140625" style="1" customWidth="1"/>
    <col min="64" max="64" width="1.7109375" style="1" customWidth="1"/>
    <col min="65" max="65" width="12" style="1" customWidth="1"/>
    <col min="66" max="66" width="1.7109375" style="1" customWidth="1"/>
    <col min="67" max="67" width="11.85546875" style="1" customWidth="1"/>
    <col min="68" max="68" width="1.7109375" style="1" customWidth="1"/>
    <col min="69" max="69" width="11.85546875" style="1" customWidth="1"/>
    <col min="70" max="70" width="1.7109375" style="35" customWidth="1"/>
    <col min="71" max="71" width="9.140625" style="35"/>
    <col min="72" max="72" width="1.7109375" style="35" customWidth="1"/>
    <col min="73" max="73" width="9.140625" style="35"/>
    <col min="74" max="74" width="1.7109375" style="35" customWidth="1"/>
    <col min="75" max="75" width="9.140625" style="35"/>
    <col min="76" max="76" width="1.7109375" style="35" customWidth="1"/>
    <col min="77" max="77" width="9.140625" style="35"/>
    <col min="78" max="78" width="1.7109375" style="35" customWidth="1"/>
    <col min="79" max="79" width="9.140625" style="35"/>
    <col min="80" max="80" width="1.7109375" style="35" customWidth="1"/>
    <col min="81" max="81" width="9.140625" style="35"/>
    <col min="82" max="82" width="1.7109375" style="35" customWidth="1"/>
    <col min="83" max="112" width="9.140625" style="35"/>
    <col min="113" max="16384" width="9.140625" style="37"/>
  </cols>
  <sheetData>
    <row r="1" spans="1:112" s="372" customFormat="1" ht="15" x14ac:dyDescent="0.25">
      <c r="A1" s="362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321"/>
      <c r="AJ1" s="321"/>
      <c r="AK1" s="321"/>
      <c r="AL1" s="321"/>
      <c r="AM1" s="321"/>
      <c r="AN1" s="321"/>
      <c r="AO1" s="321"/>
      <c r="AP1" s="321"/>
      <c r="AQ1" s="321"/>
      <c r="AR1" s="321"/>
      <c r="AS1" s="321"/>
      <c r="AT1" s="321"/>
      <c r="AU1" s="314" t="s">
        <v>373</v>
      </c>
      <c r="AV1" s="321"/>
      <c r="AW1" s="321"/>
      <c r="AX1" s="321"/>
      <c r="AY1" s="321"/>
      <c r="AZ1" s="321"/>
      <c r="BA1" s="321"/>
      <c r="BB1" s="321"/>
      <c r="BC1" s="321"/>
      <c r="BD1" s="321"/>
      <c r="BE1" s="321"/>
      <c r="BF1" s="321"/>
      <c r="BG1" s="321"/>
      <c r="BH1" s="321"/>
      <c r="BI1" s="408"/>
      <c r="BJ1" s="360"/>
      <c r="BK1" s="360"/>
      <c r="BL1" s="360"/>
      <c r="BM1" s="360"/>
      <c r="BN1" s="360"/>
      <c r="BO1" s="360"/>
      <c r="BP1" s="360"/>
      <c r="BQ1" s="360"/>
      <c r="BR1" s="373"/>
      <c r="BS1" s="373"/>
      <c r="BT1" s="373"/>
      <c r="BU1" s="373"/>
      <c r="BV1" s="373"/>
      <c r="BW1" s="373"/>
      <c r="BX1" s="373"/>
      <c r="BY1" s="373"/>
      <c r="BZ1" s="373"/>
      <c r="CA1" s="373"/>
      <c r="CB1" s="373"/>
      <c r="CC1" s="373"/>
      <c r="CD1" s="373"/>
      <c r="CE1" s="373"/>
      <c r="CF1" s="373"/>
      <c r="CG1" s="373"/>
      <c r="CH1" s="373"/>
      <c r="CI1" s="373"/>
      <c r="CJ1" s="373"/>
      <c r="CK1" s="373"/>
      <c r="CL1" s="373"/>
      <c r="CM1" s="373"/>
      <c r="CN1" s="373"/>
      <c r="CO1" s="373"/>
      <c r="CP1" s="373"/>
      <c r="CQ1" s="373"/>
      <c r="CR1" s="373"/>
      <c r="CS1" s="373"/>
      <c r="CT1" s="373"/>
      <c r="CU1" s="373"/>
      <c r="CV1" s="373"/>
      <c r="CW1" s="373"/>
      <c r="CX1" s="373"/>
      <c r="CY1" s="373"/>
      <c r="CZ1" s="373"/>
      <c r="DA1" s="373"/>
      <c r="DB1" s="373"/>
      <c r="DC1" s="373"/>
      <c r="DD1" s="373"/>
      <c r="DE1" s="373"/>
      <c r="DF1" s="373"/>
      <c r="DG1" s="373"/>
      <c r="DH1" s="373"/>
    </row>
    <row r="2" spans="1:112" s="372" customFormat="1" ht="15" x14ac:dyDescent="0.25">
      <c r="A2" s="362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321"/>
      <c r="AF2" s="321"/>
      <c r="AG2" s="321"/>
      <c r="AH2" s="321"/>
      <c r="AI2" s="321"/>
      <c r="AJ2" s="321"/>
      <c r="AK2" s="321"/>
      <c r="AL2" s="321"/>
      <c r="AM2" s="321"/>
      <c r="AN2" s="321"/>
      <c r="AO2" s="321"/>
      <c r="AP2" s="321"/>
      <c r="AQ2" s="321"/>
      <c r="AR2" s="321"/>
      <c r="AS2" s="321"/>
      <c r="AT2" s="321"/>
      <c r="AU2" s="314" t="s">
        <v>385</v>
      </c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F2" s="321"/>
      <c r="BG2" s="321"/>
      <c r="BH2" s="321"/>
      <c r="BI2" s="408"/>
      <c r="BJ2" s="360"/>
      <c r="BK2" s="360"/>
      <c r="BL2" s="360"/>
      <c r="BM2" s="360"/>
      <c r="BN2" s="360"/>
      <c r="BO2" s="360"/>
      <c r="BP2" s="360"/>
      <c r="BQ2" s="360"/>
      <c r="BR2" s="373"/>
      <c r="BS2" s="373"/>
      <c r="BT2" s="373"/>
      <c r="BU2" s="373"/>
      <c r="BV2" s="373"/>
      <c r="BW2" s="373"/>
      <c r="BX2" s="373"/>
      <c r="BY2" s="373"/>
      <c r="BZ2" s="373"/>
      <c r="CA2" s="373"/>
      <c r="CB2" s="373"/>
      <c r="CC2" s="373"/>
      <c r="CD2" s="373"/>
      <c r="CE2" s="373"/>
      <c r="CF2" s="373"/>
      <c r="CG2" s="373"/>
      <c r="CH2" s="373"/>
      <c r="CI2" s="373"/>
      <c r="CJ2" s="373"/>
      <c r="CK2" s="373"/>
      <c r="CL2" s="373"/>
      <c r="CM2" s="373"/>
      <c r="CN2" s="373"/>
      <c r="CO2" s="373"/>
      <c r="CP2" s="373"/>
      <c r="CQ2" s="373"/>
      <c r="CR2" s="373"/>
      <c r="CS2" s="373"/>
      <c r="CT2" s="373"/>
      <c r="CU2" s="373"/>
      <c r="CV2" s="373"/>
      <c r="CW2" s="373"/>
      <c r="CX2" s="373"/>
      <c r="CY2" s="373"/>
      <c r="CZ2" s="373"/>
      <c r="DA2" s="373"/>
      <c r="DB2" s="373"/>
      <c r="DC2" s="373"/>
      <c r="DD2" s="373"/>
      <c r="DE2" s="373"/>
      <c r="DF2" s="373"/>
      <c r="DG2" s="373"/>
      <c r="DH2" s="373"/>
    </row>
    <row r="3" spans="1:112" s="372" customFormat="1" ht="15" x14ac:dyDescent="0.25">
      <c r="A3" s="362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321"/>
      <c r="AF3" s="321"/>
      <c r="AG3" s="321"/>
      <c r="AH3" s="321"/>
      <c r="AI3" s="321"/>
      <c r="AJ3" s="321"/>
      <c r="AK3" s="321"/>
      <c r="AL3" s="321"/>
      <c r="AM3" s="321"/>
      <c r="AN3" s="321"/>
      <c r="AO3" s="321"/>
      <c r="AP3" s="321"/>
      <c r="AQ3" s="321"/>
      <c r="AR3" s="321"/>
      <c r="AS3" s="321"/>
      <c r="AT3" s="321"/>
      <c r="AU3" s="314" t="s">
        <v>374</v>
      </c>
      <c r="AV3" s="321"/>
      <c r="AW3" s="321"/>
      <c r="AX3" s="321"/>
      <c r="AY3" s="321"/>
      <c r="AZ3" s="321"/>
      <c r="BA3" s="321"/>
      <c r="BB3" s="321"/>
      <c r="BC3" s="321"/>
      <c r="BD3" s="321"/>
      <c r="BE3" s="321"/>
      <c r="BF3" s="321"/>
      <c r="BG3" s="321"/>
      <c r="BH3" s="321"/>
      <c r="BI3" s="408"/>
      <c r="BJ3" s="360"/>
      <c r="BK3" s="360"/>
      <c r="BL3" s="360"/>
      <c r="BM3" s="360"/>
      <c r="BN3" s="360"/>
      <c r="BO3" s="360"/>
      <c r="BP3" s="360"/>
      <c r="BQ3" s="360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</row>
    <row r="4" spans="1:112" s="372" customFormat="1" ht="15" x14ac:dyDescent="0.25">
      <c r="A4" s="362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311"/>
      <c r="S4" s="311"/>
      <c r="T4" s="311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23"/>
      <c r="AI4" s="323"/>
      <c r="AJ4" s="323"/>
      <c r="AK4" s="323"/>
      <c r="AL4" s="310"/>
      <c r="AM4" s="310"/>
      <c r="AN4" s="310"/>
      <c r="AO4" s="310"/>
      <c r="AP4" s="310"/>
      <c r="AQ4" s="310"/>
      <c r="AR4" s="310"/>
      <c r="AS4" s="310"/>
      <c r="AT4" s="324"/>
      <c r="AU4" s="324" t="s">
        <v>375</v>
      </c>
      <c r="AV4" s="324"/>
      <c r="AW4" s="324"/>
      <c r="AX4" s="324"/>
      <c r="AY4" s="324"/>
      <c r="AZ4" s="324"/>
      <c r="BA4" s="324"/>
      <c r="BB4" s="324"/>
      <c r="BC4" s="321"/>
      <c r="BD4" s="324"/>
      <c r="BE4" s="324"/>
      <c r="BF4" s="324"/>
      <c r="BG4" s="321"/>
      <c r="BH4" s="321"/>
      <c r="BI4" s="408"/>
      <c r="BJ4" s="360"/>
      <c r="BK4" s="360"/>
      <c r="BL4" s="360"/>
      <c r="BM4" s="360"/>
      <c r="BN4" s="360"/>
      <c r="BO4" s="360"/>
      <c r="BP4" s="360"/>
      <c r="BQ4" s="360"/>
      <c r="BR4" s="373"/>
      <c r="BS4" s="373"/>
      <c r="BT4" s="373"/>
      <c r="BU4" s="373"/>
      <c r="BV4" s="373"/>
      <c r="BW4" s="373"/>
      <c r="BX4" s="373"/>
      <c r="BY4" s="373"/>
      <c r="BZ4" s="373"/>
      <c r="CA4" s="373"/>
      <c r="CB4" s="373"/>
      <c r="CC4" s="373"/>
      <c r="CD4" s="373"/>
      <c r="CE4" s="373"/>
      <c r="CF4" s="373"/>
      <c r="CG4" s="37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  <c r="DC4" s="373"/>
      <c r="DD4" s="373"/>
      <c r="DE4" s="373"/>
      <c r="DF4" s="373"/>
      <c r="DG4" s="373"/>
      <c r="DH4" s="373"/>
    </row>
    <row r="5" spans="1:112" s="372" customFormat="1" ht="15.75" thickBot="1" x14ac:dyDescent="0.3">
      <c r="A5" s="362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181</v>
      </c>
      <c r="AJ5" s="464"/>
      <c r="AK5" s="464"/>
      <c r="AL5" s="323"/>
      <c r="AM5" s="464" t="s">
        <v>134</v>
      </c>
      <c r="AN5" s="464"/>
      <c r="AO5" s="464"/>
      <c r="AP5" s="323"/>
      <c r="AQ5" s="464" t="s">
        <v>135</v>
      </c>
      <c r="AR5" s="464"/>
      <c r="AS5" s="464"/>
      <c r="AT5" s="324"/>
      <c r="AU5" s="436" t="s">
        <v>376</v>
      </c>
      <c r="AV5" s="405"/>
      <c r="AW5" s="474" t="s">
        <v>114</v>
      </c>
      <c r="AX5" s="474"/>
      <c r="AY5" s="474"/>
      <c r="AZ5" s="474"/>
      <c r="BA5" s="474"/>
      <c r="BB5" s="474"/>
      <c r="BC5" s="474"/>
      <c r="BD5" s="321"/>
      <c r="BE5" s="457" t="s">
        <v>196</v>
      </c>
      <c r="BF5" s="457"/>
      <c r="BG5" s="457"/>
      <c r="BH5" s="321"/>
      <c r="BI5" s="408"/>
      <c r="BJ5" s="360"/>
      <c r="BK5" s="360"/>
      <c r="BL5" s="360"/>
      <c r="BM5" s="360"/>
      <c r="BN5" s="360"/>
      <c r="BO5" s="360"/>
      <c r="BP5" s="360"/>
      <c r="BQ5" s="360"/>
      <c r="BR5" s="373"/>
      <c r="BS5" s="373"/>
      <c r="BT5" s="373"/>
      <c r="BU5" s="373"/>
      <c r="BV5" s="373"/>
      <c r="BW5" s="373"/>
      <c r="BX5" s="373"/>
      <c r="BY5" s="373"/>
      <c r="BZ5" s="373"/>
      <c r="CA5" s="373"/>
      <c r="CB5" s="373"/>
      <c r="CC5" s="373"/>
      <c r="CD5" s="373"/>
      <c r="CE5" s="373"/>
      <c r="CF5" s="373"/>
      <c r="CG5" s="37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  <c r="DC5" s="373"/>
      <c r="DD5" s="373"/>
      <c r="DE5" s="373"/>
      <c r="DF5" s="373"/>
      <c r="DG5" s="373"/>
      <c r="DH5" s="373"/>
    </row>
    <row r="6" spans="1:112" s="96" customFormat="1" ht="15" x14ac:dyDescent="0.25">
      <c r="A6" s="61"/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90"/>
      <c r="AI6" s="103"/>
      <c r="AJ6" s="104"/>
      <c r="AK6" s="105"/>
      <c r="AL6" s="290"/>
      <c r="AM6" s="103"/>
      <c r="AN6" s="104"/>
      <c r="AO6" s="102" t="s">
        <v>107</v>
      </c>
      <c r="AP6" s="290"/>
      <c r="AQ6" s="103"/>
      <c r="AR6" s="104"/>
      <c r="AS6" s="105"/>
      <c r="AT6" s="150"/>
      <c r="AU6" s="201"/>
      <c r="AV6" s="150"/>
      <c r="AW6" s="176"/>
      <c r="AX6" s="170"/>
      <c r="AY6" s="177" t="s">
        <v>378</v>
      </c>
      <c r="AZ6" s="170"/>
      <c r="BA6" s="177"/>
      <c r="BB6" s="170"/>
      <c r="BC6" s="178"/>
      <c r="BD6" s="150"/>
      <c r="BE6" s="172"/>
      <c r="BF6" s="173"/>
      <c r="BG6" s="174"/>
      <c r="BH6" s="150"/>
      <c r="BI6" s="79"/>
      <c r="BJ6" s="77"/>
      <c r="BK6" s="81"/>
      <c r="BL6" s="77"/>
      <c r="BM6" s="81"/>
      <c r="BN6" s="77"/>
      <c r="BO6" s="81"/>
      <c r="BP6" s="77"/>
      <c r="BQ6" s="82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</row>
    <row r="7" spans="1:112" s="96" customFormat="1" ht="12.75" customHeight="1" x14ac:dyDescent="0.25">
      <c r="A7" s="61"/>
      <c r="C7" s="90" t="str">
        <f>+'Lead Sheet '!C5</f>
        <v>Bob</v>
      </c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tr">
        <f>+'Lead Sheet '!AI5</f>
        <v>Maureen</v>
      </c>
      <c r="AJ7" s="290"/>
      <c r="AK7" s="107" t="str">
        <f>+'Lead Sheet '!AK5</f>
        <v>Maureen</v>
      </c>
      <c r="AL7" s="290"/>
      <c r="AM7" s="106" t="s">
        <v>366</v>
      </c>
      <c r="AN7" s="290"/>
      <c r="AO7" s="107" t="s">
        <v>118</v>
      </c>
      <c r="AP7" s="290"/>
      <c r="AQ7" s="106" t="s">
        <v>368</v>
      </c>
      <c r="AR7" s="290"/>
      <c r="AS7" s="107" t="s">
        <v>304</v>
      </c>
      <c r="AT7" s="150"/>
      <c r="AU7" s="202" t="s">
        <v>371</v>
      </c>
      <c r="AV7" s="150"/>
      <c r="AW7" s="233" t="s">
        <v>166</v>
      </c>
      <c r="AX7" s="150"/>
      <c r="AY7" s="235" t="s">
        <v>379</v>
      </c>
      <c r="AZ7" s="150"/>
      <c r="BA7" s="235" t="s">
        <v>381</v>
      </c>
      <c r="BB7" s="150"/>
      <c r="BC7" s="167" t="s">
        <v>383</v>
      </c>
      <c r="BD7" s="150"/>
      <c r="BE7" s="155"/>
      <c r="BF7" s="324"/>
      <c r="BG7" s="156"/>
      <c r="BH7" s="150"/>
      <c r="BI7" s="78" t="s">
        <v>24</v>
      </c>
      <c r="BJ7" s="76"/>
      <c r="BK7" s="83" t="s">
        <v>24</v>
      </c>
      <c r="BL7" s="76"/>
      <c r="BM7" s="83" t="s">
        <v>24</v>
      </c>
      <c r="BN7" s="76"/>
      <c r="BO7" s="83" t="s">
        <v>24</v>
      </c>
      <c r="BP7" s="76"/>
      <c r="BQ7" s="84" t="s">
        <v>24</v>
      </c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</row>
    <row r="8" spans="1:112" s="96" customFormat="1" ht="14.25" x14ac:dyDescent="0.2">
      <c r="A8" s="61" t="s">
        <v>91</v>
      </c>
      <c r="C8" s="90" t="str">
        <f>+'Lead Sheet '!C6</f>
        <v>HUGIN</v>
      </c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tr">
        <f>+'Lead Sheet '!AI6</f>
        <v>KERN</v>
      </c>
      <c r="AJ8" s="290"/>
      <c r="AK8" s="107" t="str">
        <f>+'Lead Sheet '!AK6</f>
        <v>LEIDY</v>
      </c>
      <c r="AL8" s="290"/>
      <c r="AM8" s="106" t="s">
        <v>367</v>
      </c>
      <c r="AN8" s="290"/>
      <c r="AO8" s="107" t="s">
        <v>119</v>
      </c>
      <c r="AP8" s="290"/>
      <c r="AQ8" s="106" t="s">
        <v>369</v>
      </c>
      <c r="AR8" s="290"/>
      <c r="AS8" s="107" t="s">
        <v>370</v>
      </c>
      <c r="AT8" s="150"/>
      <c r="AU8" s="202" t="s">
        <v>372</v>
      </c>
      <c r="AV8" s="150"/>
      <c r="AW8" s="166" t="s">
        <v>377</v>
      </c>
      <c r="AX8" s="150"/>
      <c r="AY8" s="152" t="s">
        <v>380</v>
      </c>
      <c r="AZ8" s="150"/>
      <c r="BA8" s="152" t="s">
        <v>382</v>
      </c>
      <c r="BB8" s="150"/>
      <c r="BC8" s="167" t="s">
        <v>384</v>
      </c>
      <c r="BD8" s="150"/>
      <c r="BE8" s="315" t="s">
        <v>106</v>
      </c>
      <c r="BF8" s="143"/>
      <c r="BG8" s="316" t="s">
        <v>107</v>
      </c>
      <c r="BH8" s="150"/>
      <c r="BI8" s="78" t="s">
        <v>83</v>
      </c>
      <c r="BJ8" s="76"/>
      <c r="BK8" s="83" t="s">
        <v>84</v>
      </c>
      <c r="BL8" s="76"/>
      <c r="BM8" s="83" t="s">
        <v>85</v>
      </c>
      <c r="BN8" s="76"/>
      <c r="BO8" s="83" t="s">
        <v>86</v>
      </c>
      <c r="BP8" s="76"/>
      <c r="BQ8" s="84" t="s">
        <v>87</v>
      </c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</row>
    <row r="9" spans="1:112" s="96" customFormat="1" ht="14.25" x14ac:dyDescent="0.2">
      <c r="A9" s="61" t="s">
        <v>92</v>
      </c>
      <c r="C9" s="90" t="str">
        <f>+'Lead Sheet '!C7</f>
        <v>Republican</v>
      </c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tr">
        <f>+'Lead Sheet '!AI7</f>
        <v>Republican</v>
      </c>
      <c r="AJ9" s="290"/>
      <c r="AK9" s="107" t="str">
        <f>+'Lead Sheet '!AK7</f>
        <v>Democratic</v>
      </c>
      <c r="AL9" s="290"/>
      <c r="AM9" s="106" t="s">
        <v>93</v>
      </c>
      <c r="AN9" s="290"/>
      <c r="AO9" s="107" t="s">
        <v>99</v>
      </c>
      <c r="AP9" s="290"/>
      <c r="AQ9" s="106"/>
      <c r="AR9" s="290"/>
      <c r="AS9" s="107"/>
      <c r="AT9" s="150"/>
      <c r="AU9" s="202"/>
      <c r="AV9" s="150"/>
      <c r="AW9" s="166"/>
      <c r="AX9" s="150"/>
      <c r="AY9" s="152"/>
      <c r="AZ9" s="150"/>
      <c r="BA9" s="152"/>
      <c r="BB9" s="150"/>
      <c r="BC9" s="167"/>
      <c r="BD9" s="150"/>
      <c r="BE9" s="296"/>
      <c r="BF9" s="295"/>
      <c r="BG9" s="297"/>
      <c r="BH9" s="150"/>
      <c r="BI9" s="78" t="s">
        <v>89</v>
      </c>
      <c r="BJ9" s="76"/>
      <c r="BK9" s="83" t="s">
        <v>90</v>
      </c>
      <c r="BL9" s="76"/>
      <c r="BM9" s="83" t="s">
        <v>89</v>
      </c>
      <c r="BN9" s="76"/>
      <c r="BO9" s="83" t="s">
        <v>89</v>
      </c>
      <c r="BP9" s="76"/>
      <c r="BQ9" s="84" t="s">
        <v>89</v>
      </c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</row>
    <row r="10" spans="1:112" s="434" customFormat="1" ht="15" thickBot="1" x14ac:dyDescent="0.25">
      <c r="A10" s="368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67"/>
      <c r="AM10" s="264"/>
      <c r="AN10" s="265"/>
      <c r="AO10" s="266"/>
      <c r="AP10" s="267"/>
      <c r="AQ10" s="264"/>
      <c r="AR10" s="265"/>
      <c r="AS10" s="266"/>
      <c r="AT10" s="435"/>
      <c r="AU10" s="437"/>
      <c r="AV10" s="435"/>
      <c r="AW10" s="438"/>
      <c r="AX10" s="439"/>
      <c r="AY10" s="440"/>
      <c r="AZ10" s="439"/>
      <c r="BA10" s="440"/>
      <c r="BB10" s="439"/>
      <c r="BC10" s="268"/>
      <c r="BD10" s="435"/>
      <c r="BE10" s="146"/>
      <c r="BF10" s="144"/>
      <c r="BG10" s="145"/>
      <c r="BH10" s="435"/>
      <c r="BI10" s="80"/>
      <c r="BJ10" s="85"/>
      <c r="BK10" s="85"/>
      <c r="BL10" s="85"/>
      <c r="BM10" s="85"/>
      <c r="BN10" s="85"/>
      <c r="BO10" s="85"/>
      <c r="BP10" s="85"/>
      <c r="BQ10" s="86"/>
      <c r="BR10" s="371"/>
      <c r="BS10" s="371"/>
      <c r="BT10" s="371"/>
      <c r="BU10" s="371"/>
      <c r="BV10" s="371"/>
      <c r="BW10" s="371"/>
      <c r="BX10" s="371"/>
      <c r="BY10" s="371"/>
      <c r="BZ10" s="371"/>
      <c r="CA10" s="371"/>
      <c r="CB10" s="371"/>
      <c r="CC10" s="371"/>
      <c r="CD10" s="371"/>
      <c r="CE10" s="371"/>
      <c r="CF10" s="371"/>
      <c r="CG10" s="371"/>
      <c r="CH10" s="371"/>
      <c r="CI10" s="371"/>
      <c r="CJ10" s="371"/>
      <c r="CK10" s="371"/>
      <c r="CL10" s="371"/>
      <c r="CM10" s="371"/>
      <c r="CN10" s="371"/>
      <c r="CO10" s="371"/>
      <c r="CP10" s="371"/>
      <c r="CQ10" s="371"/>
      <c r="CR10" s="371"/>
      <c r="CS10" s="371"/>
      <c r="CT10" s="371"/>
      <c r="CU10" s="371"/>
      <c r="CV10" s="371"/>
      <c r="CW10" s="371"/>
      <c r="CX10" s="371"/>
      <c r="CY10" s="371"/>
      <c r="CZ10" s="371"/>
      <c r="DA10" s="371"/>
      <c r="DB10" s="371"/>
      <c r="DC10" s="371"/>
      <c r="DD10" s="371"/>
      <c r="DE10" s="371"/>
      <c r="DF10" s="371"/>
      <c r="DG10" s="371"/>
      <c r="DH10" s="371"/>
    </row>
    <row r="11" spans="1:112" x14ac:dyDescent="0.2">
      <c r="A11" s="61" t="s">
        <v>27</v>
      </c>
      <c r="C11" s="62">
        <f>226+266</f>
        <v>492</v>
      </c>
      <c r="D11" s="35" t="s">
        <v>108</v>
      </c>
      <c r="E11" s="62">
        <f>152+162</f>
        <v>314</v>
      </c>
      <c r="F11" s="35"/>
      <c r="G11" s="62">
        <f>7+2</f>
        <v>9</v>
      </c>
      <c r="H11" s="35"/>
      <c r="I11" s="62">
        <f>1+2</f>
        <v>3</v>
      </c>
      <c r="J11" s="35"/>
      <c r="K11" s="62">
        <f>4+5</f>
        <v>9</v>
      </c>
      <c r="L11" s="35"/>
      <c r="M11" s="62">
        <v>1</v>
      </c>
      <c r="N11" s="35"/>
      <c r="O11" s="62">
        <f>2+1</f>
        <v>3</v>
      </c>
      <c r="P11" s="35"/>
      <c r="Q11" s="62">
        <v>0</v>
      </c>
      <c r="R11" s="35"/>
      <c r="S11" s="62">
        <f>187+223</f>
        <v>410</v>
      </c>
      <c r="T11" s="35"/>
      <c r="U11" s="62">
        <f>207+212</f>
        <v>419</v>
      </c>
      <c r="V11" s="35"/>
      <c r="W11" s="62">
        <f>2+3</f>
        <v>5</v>
      </c>
      <c r="X11" s="35"/>
      <c r="Y11" s="62">
        <v>0</v>
      </c>
      <c r="Z11" s="35"/>
      <c r="AA11" s="62">
        <v>2</v>
      </c>
      <c r="AB11" s="35"/>
      <c r="AC11" s="62">
        <v>1</v>
      </c>
      <c r="AD11" s="35"/>
      <c r="AE11" s="62">
        <f>234+281</f>
        <v>515</v>
      </c>
      <c r="AF11" s="35"/>
      <c r="AG11" s="62">
        <f>151+150</f>
        <v>301</v>
      </c>
      <c r="AH11" s="35"/>
      <c r="AI11" s="62">
        <f>224+271</f>
        <v>495</v>
      </c>
      <c r="AJ11" s="35"/>
      <c r="AK11" s="62">
        <f>161+152</f>
        <v>313</v>
      </c>
      <c r="AL11" s="35"/>
      <c r="AM11" s="62">
        <f>255+319</f>
        <v>574</v>
      </c>
      <c r="AN11" s="35"/>
      <c r="AO11" s="62"/>
      <c r="AP11" s="35"/>
      <c r="AQ11" s="62" t="s">
        <v>108</v>
      </c>
      <c r="AR11" s="35"/>
      <c r="AS11" s="62" t="s">
        <v>108</v>
      </c>
      <c r="AT11" s="35"/>
      <c r="AU11" s="62">
        <f>253+294</f>
        <v>547</v>
      </c>
      <c r="AV11" s="35"/>
      <c r="AW11" s="62">
        <f>202+224</f>
        <v>426</v>
      </c>
      <c r="AX11" s="35"/>
      <c r="AY11" s="62">
        <f>198+207</f>
        <v>405</v>
      </c>
      <c r="AZ11" s="35"/>
      <c r="BA11" s="62">
        <f>182+212</f>
        <v>394</v>
      </c>
      <c r="BB11" s="35"/>
      <c r="BC11" s="62">
        <f>91+105</f>
        <v>196</v>
      </c>
      <c r="BD11" s="35"/>
      <c r="BE11" s="62">
        <f>144+153</f>
        <v>297</v>
      </c>
      <c r="BF11" s="35"/>
      <c r="BG11" s="62">
        <f>210+241</f>
        <v>451</v>
      </c>
      <c r="BH11" s="35"/>
      <c r="BI11" s="62">
        <f>404+445</f>
        <v>849</v>
      </c>
      <c r="BJ11" s="19"/>
      <c r="BK11" s="62">
        <v>215</v>
      </c>
      <c r="BL11" s="19"/>
      <c r="BM11" s="62">
        <v>38</v>
      </c>
      <c r="BN11" s="19"/>
      <c r="BO11" s="62"/>
      <c r="BP11" s="19"/>
      <c r="BQ11" s="18">
        <f>+SUM(BI11:BO11)</f>
        <v>1102</v>
      </c>
    </row>
    <row r="12" spans="1:112" x14ac:dyDescent="0.2">
      <c r="A12" s="61" t="s">
        <v>28</v>
      </c>
      <c r="C12" s="60">
        <f>165+179</f>
        <v>344</v>
      </c>
      <c r="D12" s="35"/>
      <c r="E12" s="60">
        <f>101+89</f>
        <v>190</v>
      </c>
      <c r="F12" s="35"/>
      <c r="G12" s="60">
        <f>4+2</f>
        <v>6</v>
      </c>
      <c r="H12" s="35"/>
      <c r="I12" s="60">
        <v>1</v>
      </c>
      <c r="J12" s="35"/>
      <c r="K12" s="60">
        <f>2+2</f>
        <v>4</v>
      </c>
      <c r="L12" s="35"/>
      <c r="M12" s="60">
        <f>2+1</f>
        <v>3</v>
      </c>
      <c r="N12" s="35"/>
      <c r="O12" s="60">
        <v>0</v>
      </c>
      <c r="P12" s="35"/>
      <c r="Q12" s="60">
        <v>1</v>
      </c>
      <c r="R12" s="35"/>
      <c r="S12" s="60">
        <f>140+153</f>
        <v>293</v>
      </c>
      <c r="T12" s="35"/>
      <c r="U12" s="60">
        <f>132+122</f>
        <v>254</v>
      </c>
      <c r="V12" s="35"/>
      <c r="W12" s="60">
        <f>2+1</f>
        <v>3</v>
      </c>
      <c r="X12" s="35"/>
      <c r="Y12" s="60">
        <v>1</v>
      </c>
      <c r="Z12" s="35"/>
      <c r="AA12" s="60">
        <f>2+1</f>
        <v>3</v>
      </c>
      <c r="AB12" s="35"/>
      <c r="AC12" s="60">
        <v>0</v>
      </c>
      <c r="AD12" s="35"/>
      <c r="AE12" s="60">
        <f>168+190</f>
        <v>358</v>
      </c>
      <c r="AF12" s="35"/>
      <c r="AG12" s="60">
        <f>104+85</f>
        <v>189</v>
      </c>
      <c r="AH12" s="35"/>
      <c r="AI12" s="60">
        <f>168+188</f>
        <v>356</v>
      </c>
      <c r="AJ12" s="35"/>
      <c r="AK12" s="60">
        <f>105+85</f>
        <v>190</v>
      </c>
      <c r="AL12" s="35"/>
      <c r="AM12" s="60">
        <f>193+218</f>
        <v>411</v>
      </c>
      <c r="AN12" s="35"/>
      <c r="AO12" s="60"/>
      <c r="AP12" s="35"/>
      <c r="AQ12" s="60"/>
      <c r="AR12" s="35"/>
      <c r="AS12" s="60"/>
      <c r="AT12" s="35"/>
      <c r="AU12" s="60">
        <f>194+203</f>
        <v>397</v>
      </c>
      <c r="AV12" s="35"/>
      <c r="AW12" s="60">
        <f>147+154</f>
        <v>301</v>
      </c>
      <c r="AX12" s="35"/>
      <c r="AY12" s="60">
        <f>138+142</f>
        <v>280</v>
      </c>
      <c r="AZ12" s="35"/>
      <c r="BA12" s="60">
        <f>137+128</f>
        <v>265</v>
      </c>
      <c r="BB12" s="35"/>
      <c r="BC12" s="60">
        <f>61+64</f>
        <v>125</v>
      </c>
      <c r="BD12" s="35"/>
      <c r="BE12" s="60">
        <f>112+99</f>
        <v>211</v>
      </c>
      <c r="BF12" s="35"/>
      <c r="BG12" s="60">
        <f>142+154</f>
        <v>296</v>
      </c>
      <c r="BH12" s="35"/>
      <c r="BI12" s="60">
        <f>279+280</f>
        <v>559</v>
      </c>
      <c r="BJ12" s="19"/>
      <c r="BK12" s="60"/>
      <c r="BL12" s="19"/>
      <c r="BM12" s="60"/>
      <c r="BN12" s="19"/>
      <c r="BO12" s="60"/>
      <c r="BP12" s="19"/>
      <c r="BQ12" s="18">
        <f>+SUM(BI12:BO12)</f>
        <v>559</v>
      </c>
    </row>
    <row r="13" spans="1:112" x14ac:dyDescent="0.2">
      <c r="A13" s="61" t="s">
        <v>30</v>
      </c>
      <c r="C13" s="60">
        <f>179+181</f>
        <v>360</v>
      </c>
      <c r="D13" s="35"/>
      <c r="E13" s="60">
        <f>115+110</f>
        <v>225</v>
      </c>
      <c r="F13" s="35"/>
      <c r="G13" s="60">
        <f>3+3</f>
        <v>6</v>
      </c>
      <c r="H13" s="35"/>
      <c r="I13" s="60">
        <v>1</v>
      </c>
      <c r="J13" s="35"/>
      <c r="K13" s="60">
        <f>1+2</f>
        <v>3</v>
      </c>
      <c r="L13" s="35"/>
      <c r="M13" s="60">
        <f>2+1</f>
        <v>3</v>
      </c>
      <c r="N13" s="35"/>
      <c r="O13" s="60">
        <v>0</v>
      </c>
      <c r="P13" s="35"/>
      <c r="Q13" s="60">
        <v>1</v>
      </c>
      <c r="R13" s="35"/>
      <c r="S13" s="60">
        <f>140+152</f>
        <v>292</v>
      </c>
      <c r="T13" s="35"/>
      <c r="U13" s="60">
        <f>146+144</f>
        <v>290</v>
      </c>
      <c r="V13" s="35"/>
      <c r="W13" s="60">
        <v>4</v>
      </c>
      <c r="X13" s="35"/>
      <c r="Y13" s="60">
        <f>2+2</f>
        <v>4</v>
      </c>
      <c r="Z13" s="35"/>
      <c r="AA13" s="60">
        <f>4+1</f>
        <v>5</v>
      </c>
      <c r="AB13" s="35"/>
      <c r="AC13" s="60">
        <v>2</v>
      </c>
      <c r="AD13" s="35"/>
      <c r="AE13" s="60">
        <f>191+179</f>
        <v>370</v>
      </c>
      <c r="AF13" s="35"/>
      <c r="AG13" s="60">
        <f>106+114</f>
        <v>220</v>
      </c>
      <c r="AH13" s="35"/>
      <c r="AI13" s="60">
        <f>195+183</f>
        <v>378</v>
      </c>
      <c r="AJ13" s="35"/>
      <c r="AK13" s="60">
        <f>103+114</f>
        <v>217</v>
      </c>
      <c r="AL13" s="35"/>
      <c r="AM13" s="60"/>
      <c r="AN13" s="35"/>
      <c r="AO13" s="60"/>
      <c r="AP13" s="35"/>
      <c r="AQ13" s="60">
        <f>185+176</f>
        <v>361</v>
      </c>
      <c r="AR13" s="35"/>
      <c r="AS13" s="60">
        <f>113+117</f>
        <v>230</v>
      </c>
      <c r="AT13" s="35"/>
      <c r="AU13" s="60">
        <f>203+214</f>
        <v>417</v>
      </c>
      <c r="AV13" s="35"/>
      <c r="AW13" s="60">
        <f>156+180</f>
        <v>336</v>
      </c>
      <c r="AX13" s="35"/>
      <c r="AY13" s="60">
        <f>154+166</f>
        <v>320</v>
      </c>
      <c r="AZ13" s="35"/>
      <c r="BA13" s="60">
        <f>158+150</f>
        <v>308</v>
      </c>
      <c r="BB13" s="35"/>
      <c r="BC13" s="60">
        <f>64+64</f>
        <v>128</v>
      </c>
      <c r="BD13" s="35"/>
      <c r="BE13" s="60">
        <f>123+117</f>
        <v>240</v>
      </c>
      <c r="BF13" s="35"/>
      <c r="BG13" s="60">
        <f>147+157</f>
        <v>304</v>
      </c>
      <c r="BH13" s="35"/>
      <c r="BI13" s="60">
        <f>304+305</f>
        <v>609</v>
      </c>
      <c r="BJ13" s="42"/>
      <c r="BK13" s="60">
        <v>197</v>
      </c>
      <c r="BL13" s="42"/>
      <c r="BM13" s="60">
        <v>35</v>
      </c>
      <c r="BN13" s="42"/>
      <c r="BO13" s="60"/>
      <c r="BP13" s="42"/>
      <c r="BQ13" s="18">
        <f>+SUM(BI13:BO13)</f>
        <v>841</v>
      </c>
    </row>
    <row r="14" spans="1:112" x14ac:dyDescent="0.2">
      <c r="A14" s="61" t="s">
        <v>31</v>
      </c>
      <c r="C14" s="60">
        <f>129+156</f>
        <v>285</v>
      </c>
      <c r="D14" s="35"/>
      <c r="E14" s="60">
        <f>77+91</f>
        <v>168</v>
      </c>
      <c r="F14" s="35"/>
      <c r="G14" s="60">
        <f>2+1</f>
        <v>3</v>
      </c>
      <c r="H14" s="35"/>
      <c r="I14" s="60">
        <f>1+1</f>
        <v>2</v>
      </c>
      <c r="J14" s="35"/>
      <c r="K14" s="60">
        <f>1+2</f>
        <v>3</v>
      </c>
      <c r="L14" s="35"/>
      <c r="M14" s="60">
        <f>2+3</f>
        <v>5</v>
      </c>
      <c r="N14" s="35"/>
      <c r="O14" s="60">
        <v>0</v>
      </c>
      <c r="P14" s="35"/>
      <c r="Q14" s="60">
        <v>1</v>
      </c>
      <c r="R14" s="35"/>
      <c r="S14" s="60">
        <f>103+124</f>
        <v>227</v>
      </c>
      <c r="T14" s="35"/>
      <c r="U14" s="60">
        <f>104+128</f>
        <v>232</v>
      </c>
      <c r="V14" s="35"/>
      <c r="W14" s="60">
        <f>1+1</f>
        <v>2</v>
      </c>
      <c r="X14" s="35"/>
      <c r="Y14" s="60">
        <v>0</v>
      </c>
      <c r="Z14" s="35"/>
      <c r="AA14" s="60">
        <f>3+2</f>
        <v>5</v>
      </c>
      <c r="AB14" s="35"/>
      <c r="AC14" s="60">
        <v>1</v>
      </c>
      <c r="AD14" s="35"/>
      <c r="AE14" s="60">
        <f>133+155</f>
        <v>288</v>
      </c>
      <c r="AF14" s="35"/>
      <c r="AG14" s="60">
        <f>78+99</f>
        <v>177</v>
      </c>
      <c r="AH14" s="35"/>
      <c r="AI14" s="60">
        <f>126+156</f>
        <v>282</v>
      </c>
      <c r="AJ14" s="35"/>
      <c r="AK14" s="60">
        <f>82+98</f>
        <v>180</v>
      </c>
      <c r="AL14" s="35"/>
      <c r="AM14" s="60"/>
      <c r="AN14" s="35"/>
      <c r="AO14" s="60"/>
      <c r="AP14" s="35"/>
      <c r="AQ14" s="60">
        <f>123+157</f>
        <v>280</v>
      </c>
      <c r="AR14" s="35"/>
      <c r="AS14" s="60">
        <f>89+97</f>
        <v>186</v>
      </c>
      <c r="AT14" s="35"/>
      <c r="AU14" s="60">
        <f>151+170</f>
        <v>321</v>
      </c>
      <c r="AV14" s="35"/>
      <c r="AW14" s="60">
        <f>132+149</f>
        <v>281</v>
      </c>
      <c r="AX14" s="35"/>
      <c r="AY14" s="60">
        <f>107+141</f>
        <v>248</v>
      </c>
      <c r="AZ14" s="35"/>
      <c r="BA14" s="60">
        <f>105+124</f>
        <v>229</v>
      </c>
      <c r="BB14" s="35"/>
      <c r="BC14" s="60">
        <f>56+64</f>
        <v>120</v>
      </c>
      <c r="BD14" s="35"/>
      <c r="BE14" s="60">
        <f>92+94</f>
        <v>186</v>
      </c>
      <c r="BF14" s="35"/>
      <c r="BG14" s="60">
        <f>97+133</f>
        <v>230</v>
      </c>
      <c r="BH14" s="35"/>
      <c r="BI14" s="60">
        <f>215+257</f>
        <v>472</v>
      </c>
      <c r="BK14" s="60"/>
      <c r="BM14" s="60"/>
      <c r="BO14" s="60"/>
      <c r="BQ14" s="18">
        <f>+SUM(BI14:BO14)</f>
        <v>472</v>
      </c>
    </row>
    <row r="15" spans="1:112" x14ac:dyDescent="0.2">
      <c r="A15" s="61" t="s">
        <v>32</v>
      </c>
      <c r="C15" s="60">
        <f>132+129</f>
        <v>261</v>
      </c>
      <c r="D15" s="35"/>
      <c r="E15" s="60">
        <f>93+83</f>
        <v>176</v>
      </c>
      <c r="F15" s="35"/>
      <c r="G15" s="60">
        <f>1+2</f>
        <v>3</v>
      </c>
      <c r="H15" s="35"/>
      <c r="I15" s="60">
        <v>1</v>
      </c>
      <c r="J15" s="35"/>
      <c r="K15" s="60">
        <v>0</v>
      </c>
      <c r="L15" s="35"/>
      <c r="M15" s="60">
        <f>1+1</f>
        <v>2</v>
      </c>
      <c r="N15" s="35"/>
      <c r="O15" s="60">
        <v>2</v>
      </c>
      <c r="P15" s="35"/>
      <c r="Q15" s="60">
        <v>0</v>
      </c>
      <c r="R15" s="35"/>
      <c r="S15" s="60">
        <f>108+106</f>
        <v>214</v>
      </c>
      <c r="T15" s="35"/>
      <c r="U15" s="60">
        <f>122+108</f>
        <v>230</v>
      </c>
      <c r="V15" s="35"/>
      <c r="W15" s="60">
        <f>1+2</f>
        <v>3</v>
      </c>
      <c r="X15" s="35"/>
      <c r="Y15" s="60">
        <v>0</v>
      </c>
      <c r="Z15" s="35"/>
      <c r="AA15" s="60">
        <v>0</v>
      </c>
      <c r="AB15" s="35"/>
      <c r="AC15" s="60">
        <v>0</v>
      </c>
      <c r="AD15" s="35"/>
      <c r="AE15" s="60">
        <f>144+137</f>
        <v>281</v>
      </c>
      <c r="AF15" s="35"/>
      <c r="AG15" s="60">
        <f>85+77</f>
        <v>162</v>
      </c>
      <c r="AH15" s="35"/>
      <c r="AI15" s="60">
        <f>139+137</f>
        <v>276</v>
      </c>
      <c r="AJ15" s="35"/>
      <c r="AK15" s="60">
        <f>89+79</f>
        <v>168</v>
      </c>
      <c r="AL15" s="35"/>
      <c r="AM15" s="60"/>
      <c r="AN15" s="35"/>
      <c r="AO15" s="60"/>
      <c r="AP15" s="35"/>
      <c r="AQ15" s="60">
        <f>134+139</f>
        <v>273</v>
      </c>
      <c r="AR15" s="35"/>
      <c r="AS15" s="60">
        <f>98+78</f>
        <v>176</v>
      </c>
      <c r="AT15" s="35"/>
      <c r="AU15" s="60">
        <f>166+164</f>
        <v>330</v>
      </c>
      <c r="AV15" s="35"/>
      <c r="AW15" s="60">
        <f>123+122</f>
        <v>245</v>
      </c>
      <c r="AX15" s="35"/>
      <c r="AY15" s="60">
        <f>110+130</f>
        <v>240</v>
      </c>
      <c r="AZ15" s="35"/>
      <c r="BA15" s="60">
        <f>117+129</f>
        <v>246</v>
      </c>
      <c r="BB15" s="35"/>
      <c r="BC15" s="60">
        <f>50+56</f>
        <v>106</v>
      </c>
      <c r="BD15" s="35"/>
      <c r="BE15" s="60">
        <f>84+81</f>
        <v>165</v>
      </c>
      <c r="BF15" s="35"/>
      <c r="BG15" s="60">
        <f>118+112</f>
        <v>230</v>
      </c>
      <c r="BH15" s="35"/>
      <c r="BI15" s="60">
        <f>233+219</f>
        <v>452</v>
      </c>
      <c r="BK15" s="60"/>
      <c r="BM15" s="60"/>
      <c r="BO15" s="60"/>
      <c r="BQ15" s="18">
        <f>+SUM(BI15:BO15)</f>
        <v>452</v>
      </c>
    </row>
    <row r="16" spans="1:112" s="10" customFormat="1" ht="13.5" thickBot="1" x14ac:dyDescent="0.25">
      <c r="A16" s="6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1"/>
      <c r="BK16" s="35"/>
      <c r="BL16" s="1"/>
      <c r="BM16" s="35"/>
      <c r="BN16" s="1"/>
      <c r="BO16" s="35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</row>
    <row r="17" spans="1:112" s="48" customFormat="1" ht="13.5" thickBot="1" x14ac:dyDescent="0.25">
      <c r="A17" s="3" t="s">
        <v>24</v>
      </c>
      <c r="C17" s="41">
        <f>+SUM(C11:C15)</f>
        <v>1742</v>
      </c>
      <c r="D17" s="118"/>
      <c r="E17" s="41">
        <f>+SUM(E11:E15)</f>
        <v>1073</v>
      </c>
      <c r="F17" s="118"/>
      <c r="G17" s="41">
        <f>+SUM(G11:G15)</f>
        <v>27</v>
      </c>
      <c r="H17" s="118"/>
      <c r="I17" s="41">
        <f>+SUM(I11:I15)</f>
        <v>8</v>
      </c>
      <c r="J17" s="118"/>
      <c r="K17" s="41">
        <f>+SUM(K11:K15)</f>
        <v>19</v>
      </c>
      <c r="L17" s="118"/>
      <c r="M17" s="41">
        <f>+SUM(M11:M15)</f>
        <v>14</v>
      </c>
      <c r="N17" s="118"/>
      <c r="O17" s="41">
        <f>+SUM(O11:O15)</f>
        <v>5</v>
      </c>
      <c r="P17" s="118"/>
      <c r="Q17" s="41">
        <f>+SUM(Q11:Q15)</f>
        <v>3</v>
      </c>
      <c r="R17" s="118"/>
      <c r="S17" s="41">
        <f>+SUM(S11:S15)</f>
        <v>1436</v>
      </c>
      <c r="T17" s="118"/>
      <c r="U17" s="41">
        <f>+SUM(U11:U15)</f>
        <v>1425</v>
      </c>
      <c r="V17" s="118"/>
      <c r="W17" s="41">
        <f>+SUM(W11:W15)</f>
        <v>17</v>
      </c>
      <c r="X17" s="118"/>
      <c r="Y17" s="41">
        <f>+SUM(Y11:Y15)</f>
        <v>5</v>
      </c>
      <c r="Z17" s="118"/>
      <c r="AA17" s="41">
        <f>+SUM(AA11:AA15)</f>
        <v>15</v>
      </c>
      <c r="AB17" s="118"/>
      <c r="AC17" s="41">
        <f>+SUM(AC11:AC15)</f>
        <v>4</v>
      </c>
      <c r="AD17" s="118"/>
      <c r="AE17" s="41">
        <f>+SUM(AE11:AE15)</f>
        <v>1812</v>
      </c>
      <c r="AF17" s="118"/>
      <c r="AG17" s="41">
        <f>+SUM(AG11:AG15)</f>
        <v>1049</v>
      </c>
      <c r="AH17" s="118"/>
      <c r="AI17" s="41">
        <f>+SUM(AI11:AI15)</f>
        <v>1787</v>
      </c>
      <c r="AJ17" s="118"/>
      <c r="AK17" s="41">
        <f>+SUM(AK11:AK15)</f>
        <v>1068</v>
      </c>
      <c r="AL17" s="118"/>
      <c r="AM17" s="41">
        <f>+SUM(AM11:AM15)</f>
        <v>985</v>
      </c>
      <c r="AN17" s="118"/>
      <c r="AO17" s="41">
        <f>+SUM(AO11:AO15)</f>
        <v>0</v>
      </c>
      <c r="AP17" s="118"/>
      <c r="AQ17" s="41">
        <f>+SUM(AQ11:AQ15)</f>
        <v>914</v>
      </c>
      <c r="AR17" s="118"/>
      <c r="AS17" s="41">
        <f>+SUM(AS11:AS15)</f>
        <v>592</v>
      </c>
      <c r="AT17" s="118"/>
      <c r="AU17" s="41">
        <f>+SUM(AU11:AU15)</f>
        <v>2012</v>
      </c>
      <c r="AV17" s="118"/>
      <c r="AW17" s="41">
        <f>+SUM(AW11:AW15)</f>
        <v>1589</v>
      </c>
      <c r="AX17" s="118"/>
      <c r="AY17" s="41">
        <f>+SUM(AY11:AY15)</f>
        <v>1493</v>
      </c>
      <c r="AZ17" s="118"/>
      <c r="BA17" s="41">
        <f>+SUM(BA11:BA15)</f>
        <v>1442</v>
      </c>
      <c r="BB17" s="118"/>
      <c r="BC17" s="41">
        <f>+SUM(BC11:BC15)</f>
        <v>675</v>
      </c>
      <c r="BD17" s="118"/>
      <c r="BE17" s="41">
        <f>+SUM(BE11:BE15)</f>
        <v>1099</v>
      </c>
      <c r="BF17" s="118"/>
      <c r="BG17" s="41">
        <f>+SUM(BG11:BG15)</f>
        <v>1511</v>
      </c>
      <c r="BH17" s="118"/>
      <c r="BI17" s="41">
        <f>+SUM(BI11:BI15)</f>
        <v>2941</v>
      </c>
      <c r="BJ17" s="44"/>
      <c r="BK17" s="41">
        <f>+SUM(BK11:BK15)</f>
        <v>412</v>
      </c>
      <c r="BL17" s="44"/>
      <c r="BM17" s="41">
        <f>+SUM(BM11:BM15)</f>
        <v>73</v>
      </c>
      <c r="BN17" s="40"/>
      <c r="BO17" s="41">
        <f>+SUM(BO11:BO15)</f>
        <v>0</v>
      </c>
      <c r="BQ17" s="41">
        <f>+SUM(BQ11:BQ15)</f>
        <v>3426</v>
      </c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</row>
    <row r="18" spans="1:112" x14ac:dyDescent="0.2">
      <c r="A18" s="36" t="s">
        <v>73</v>
      </c>
      <c r="C18" s="35">
        <f>105+92</f>
        <v>197</v>
      </c>
      <c r="D18" s="35"/>
      <c r="E18" s="35">
        <f>101+96</f>
        <v>197</v>
      </c>
      <c r="F18" s="35"/>
      <c r="G18" s="35">
        <f>3+2</f>
        <v>5</v>
      </c>
      <c r="H18" s="35"/>
      <c r="I18" s="35">
        <v>0</v>
      </c>
      <c r="J18" s="35"/>
      <c r="K18" s="35">
        <v>2</v>
      </c>
      <c r="L18" s="35"/>
      <c r="M18" s="35">
        <v>1</v>
      </c>
      <c r="N18" s="35"/>
      <c r="O18" s="35">
        <v>1</v>
      </c>
      <c r="P18" s="35"/>
      <c r="Q18" s="35">
        <v>0</v>
      </c>
      <c r="R18" s="35"/>
      <c r="S18" s="35">
        <f>81+64</f>
        <v>145</v>
      </c>
      <c r="T18" s="35"/>
      <c r="U18" s="35">
        <f>123+126</f>
        <v>249</v>
      </c>
      <c r="V18" s="35"/>
      <c r="W18" s="35">
        <v>1</v>
      </c>
      <c r="X18" s="35"/>
      <c r="Y18" s="35">
        <v>0</v>
      </c>
      <c r="Z18" s="35"/>
      <c r="AA18" s="35">
        <f>1+2</f>
        <v>3</v>
      </c>
      <c r="AB18" s="35"/>
      <c r="AC18" s="35">
        <v>1</v>
      </c>
      <c r="AD18" s="35"/>
      <c r="AE18" s="35">
        <f>105+101</f>
        <v>206</v>
      </c>
      <c r="AF18" s="35"/>
      <c r="AG18" s="35">
        <f>101+91</f>
        <v>192</v>
      </c>
      <c r="AH18" s="35"/>
      <c r="AI18" s="35">
        <f>103+99</f>
        <v>202</v>
      </c>
      <c r="AJ18" s="35"/>
      <c r="AK18" s="35">
        <f>102+89</f>
        <v>191</v>
      </c>
      <c r="AL18" s="35"/>
      <c r="AM18" s="35">
        <v>128</v>
      </c>
      <c r="AN18" s="35"/>
      <c r="AO18" s="35"/>
      <c r="AP18" s="35"/>
      <c r="AQ18" s="35">
        <v>100</v>
      </c>
      <c r="AR18" s="35"/>
      <c r="AS18" s="35">
        <v>90</v>
      </c>
      <c r="AT18" s="35"/>
      <c r="AU18" s="35">
        <f>145+134</f>
        <v>279</v>
      </c>
      <c r="AV18" s="35"/>
      <c r="AW18" s="35">
        <f>113+110</f>
        <v>223</v>
      </c>
      <c r="AX18" s="35"/>
      <c r="AY18" s="35">
        <f>107+119</f>
        <v>226</v>
      </c>
      <c r="AZ18" s="35"/>
      <c r="BA18" s="35">
        <f>116+107</f>
        <v>223</v>
      </c>
      <c r="BB18" s="35"/>
      <c r="BC18" s="35">
        <f>66+39</f>
        <v>105</v>
      </c>
      <c r="BD18" s="35"/>
      <c r="BE18" s="35">
        <f>110+101</f>
        <v>211</v>
      </c>
      <c r="BF18" s="35"/>
      <c r="BG18" s="35">
        <f>85+75</f>
        <v>160</v>
      </c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</row>
    <row r="19" spans="1:112" x14ac:dyDescent="0.2">
      <c r="A19" s="36" t="s">
        <v>25</v>
      </c>
      <c r="C19" s="35">
        <f>21+21</f>
        <v>42</v>
      </c>
      <c r="D19" s="35"/>
      <c r="E19" s="35">
        <f>12+13</f>
        <v>25</v>
      </c>
      <c r="F19" s="35"/>
      <c r="G19" s="35">
        <v>2</v>
      </c>
      <c r="H19" s="35"/>
      <c r="I19" s="35">
        <v>0</v>
      </c>
      <c r="J19" s="35"/>
      <c r="K19" s="35">
        <v>0</v>
      </c>
      <c r="L19" s="35"/>
      <c r="M19" s="35">
        <v>0</v>
      </c>
      <c r="N19" s="35"/>
      <c r="O19" s="35">
        <v>0</v>
      </c>
      <c r="P19" s="35"/>
      <c r="Q19" s="35">
        <v>0</v>
      </c>
      <c r="R19" s="35"/>
      <c r="S19" s="35">
        <f>18+14</f>
        <v>32</v>
      </c>
      <c r="T19" s="35"/>
      <c r="U19" s="35">
        <f>17+20</f>
        <v>37</v>
      </c>
      <c r="V19" s="35"/>
      <c r="W19" s="35">
        <v>0</v>
      </c>
      <c r="X19" s="35"/>
      <c r="Y19" s="35">
        <v>0</v>
      </c>
      <c r="Z19" s="35"/>
      <c r="AA19" s="35">
        <v>0</v>
      </c>
      <c r="AB19" s="35"/>
      <c r="AC19" s="35">
        <v>0</v>
      </c>
      <c r="AD19" s="35"/>
      <c r="AE19" s="35">
        <f>26+21</f>
        <v>47</v>
      </c>
      <c r="AF19" s="35"/>
      <c r="AG19" s="35">
        <f>9+13</f>
        <v>22</v>
      </c>
      <c r="AH19" s="35"/>
      <c r="AI19" s="35">
        <f>24+19</f>
        <v>43</v>
      </c>
      <c r="AJ19" s="35"/>
      <c r="AK19" s="35">
        <f>9+13</f>
        <v>22</v>
      </c>
      <c r="AL19" s="35"/>
      <c r="AM19" s="35">
        <v>27</v>
      </c>
      <c r="AN19" s="35"/>
      <c r="AO19" s="35"/>
      <c r="AP19" s="35"/>
      <c r="AQ19" s="35">
        <v>19</v>
      </c>
      <c r="AR19" s="35"/>
      <c r="AS19" s="35">
        <v>14</v>
      </c>
      <c r="AT19" s="35"/>
      <c r="AU19" s="35">
        <f>17+24</f>
        <v>41</v>
      </c>
      <c r="AV19" s="35"/>
      <c r="AW19" s="35">
        <f>13+8</f>
        <v>21</v>
      </c>
      <c r="AX19" s="35"/>
      <c r="AY19" s="35">
        <f>11+13</f>
        <v>24</v>
      </c>
      <c r="AZ19" s="35"/>
      <c r="BA19" s="35">
        <f>9+11</f>
        <v>20</v>
      </c>
      <c r="BB19" s="35"/>
      <c r="BC19" s="35">
        <f>3+6</f>
        <v>9</v>
      </c>
      <c r="BD19" s="35"/>
      <c r="BE19" s="35">
        <f>13+20</f>
        <v>33</v>
      </c>
      <c r="BF19" s="35"/>
      <c r="BG19" s="35">
        <f>17+10</f>
        <v>27</v>
      </c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</row>
    <row r="20" spans="1:112" s="10" customFormat="1" ht="13.5" thickBot="1" x14ac:dyDescent="0.25">
      <c r="A20" s="36" t="s">
        <v>79</v>
      </c>
      <c r="C20" s="35">
        <v>0</v>
      </c>
      <c r="D20" s="35"/>
      <c r="E20" s="35">
        <v>1</v>
      </c>
      <c r="F20" s="35"/>
      <c r="G20" s="35">
        <v>0</v>
      </c>
      <c r="H20" s="35"/>
      <c r="I20" s="35">
        <v>0</v>
      </c>
      <c r="J20" s="35"/>
      <c r="K20" s="35">
        <v>0</v>
      </c>
      <c r="L20" s="35"/>
      <c r="M20" s="35">
        <v>0</v>
      </c>
      <c r="N20" s="35"/>
      <c r="O20" s="35">
        <v>0</v>
      </c>
      <c r="P20" s="35"/>
      <c r="Q20" s="35">
        <v>0</v>
      </c>
      <c r="R20" s="35"/>
      <c r="S20" s="35">
        <v>0</v>
      </c>
      <c r="T20" s="35"/>
      <c r="U20" s="35">
        <v>1</v>
      </c>
      <c r="V20" s="35"/>
      <c r="W20" s="35">
        <v>0</v>
      </c>
      <c r="X20" s="35"/>
      <c r="Y20" s="35">
        <v>0</v>
      </c>
      <c r="Z20" s="35"/>
      <c r="AA20" s="35">
        <v>0</v>
      </c>
      <c r="AB20" s="35"/>
      <c r="AC20" s="35">
        <v>0</v>
      </c>
      <c r="AD20" s="35"/>
      <c r="AE20" s="35">
        <v>0</v>
      </c>
      <c r="AF20" s="35"/>
      <c r="AG20" s="35">
        <v>1</v>
      </c>
      <c r="AH20" s="35"/>
      <c r="AI20" s="35">
        <v>0</v>
      </c>
      <c r="AJ20" s="35"/>
      <c r="AK20" s="35">
        <v>0</v>
      </c>
      <c r="AL20" s="35"/>
      <c r="AM20" s="35">
        <v>0</v>
      </c>
      <c r="AN20" s="35"/>
      <c r="AO20" s="35">
        <v>0</v>
      </c>
      <c r="AP20" s="35"/>
      <c r="AQ20" s="35">
        <v>0</v>
      </c>
      <c r="AR20" s="35"/>
      <c r="AS20" s="35">
        <v>0</v>
      </c>
      <c r="AT20" s="35"/>
      <c r="AU20" s="35">
        <v>0</v>
      </c>
      <c r="AV20" s="35"/>
      <c r="AW20" s="35">
        <v>0</v>
      </c>
      <c r="AX20" s="35"/>
      <c r="AY20" s="35">
        <v>0</v>
      </c>
      <c r="AZ20" s="35"/>
      <c r="BA20" s="35">
        <v>0</v>
      </c>
      <c r="BB20" s="35"/>
      <c r="BC20" s="35">
        <v>0</v>
      </c>
      <c r="BD20" s="35"/>
      <c r="BE20" s="35">
        <v>0</v>
      </c>
      <c r="BF20" s="35"/>
      <c r="BG20" s="35">
        <v>0</v>
      </c>
      <c r="BH20" s="35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</row>
    <row r="21" spans="1:112" s="48" customFormat="1" ht="13.5" thickBot="1" x14ac:dyDescent="0.25">
      <c r="A21" s="3" t="s">
        <v>26</v>
      </c>
      <c r="C21" s="41">
        <f>+SUM(C17:C20)</f>
        <v>1981</v>
      </c>
      <c r="D21" s="118"/>
      <c r="E21" s="41">
        <f>+SUM(E17:E20)</f>
        <v>1296</v>
      </c>
      <c r="F21" s="118"/>
      <c r="G21" s="41">
        <f>+SUM(G17:G20)</f>
        <v>34</v>
      </c>
      <c r="H21" s="118"/>
      <c r="I21" s="41">
        <f>+SUM(I17:I20)</f>
        <v>8</v>
      </c>
      <c r="J21" s="118"/>
      <c r="K21" s="41">
        <f>+SUM(K17:K20)</f>
        <v>21</v>
      </c>
      <c r="L21" s="118"/>
      <c r="M21" s="41">
        <f>+SUM(M17:M20)</f>
        <v>15</v>
      </c>
      <c r="N21" s="118"/>
      <c r="O21" s="41">
        <f>+SUM(O17:O20)</f>
        <v>6</v>
      </c>
      <c r="P21" s="118"/>
      <c r="Q21" s="41">
        <f>+SUM(Q17:Q20)</f>
        <v>3</v>
      </c>
      <c r="R21" s="118"/>
      <c r="S21" s="41">
        <f>+SUM(S17:S20)</f>
        <v>1613</v>
      </c>
      <c r="T21" s="118"/>
      <c r="U21" s="41">
        <f>+SUM(U17:U20)</f>
        <v>1712</v>
      </c>
      <c r="V21" s="118"/>
      <c r="W21" s="41">
        <f>+SUM(W17:W20)</f>
        <v>18</v>
      </c>
      <c r="X21" s="118"/>
      <c r="Y21" s="41">
        <f>+SUM(Y17:Y20)</f>
        <v>5</v>
      </c>
      <c r="Z21" s="118"/>
      <c r="AA21" s="41">
        <f>+SUM(AA17:AA20)</f>
        <v>18</v>
      </c>
      <c r="AB21" s="118"/>
      <c r="AC21" s="41">
        <f>+SUM(AC17:AC20)</f>
        <v>5</v>
      </c>
      <c r="AD21" s="118"/>
      <c r="AE21" s="41">
        <f>+SUM(AE17:AE20)</f>
        <v>2065</v>
      </c>
      <c r="AF21" s="118"/>
      <c r="AG21" s="41">
        <f>+SUM(AG17:AG20)</f>
        <v>1264</v>
      </c>
      <c r="AH21" s="118"/>
      <c r="AI21" s="41">
        <f>+SUM(AI17:AI20)</f>
        <v>2032</v>
      </c>
      <c r="AJ21" s="118"/>
      <c r="AK21" s="41">
        <f>+SUM(AK17:AK20)</f>
        <v>1281</v>
      </c>
      <c r="AL21" s="118"/>
      <c r="AM21" s="41">
        <f>+SUM(AM17:AM20)</f>
        <v>1140</v>
      </c>
      <c r="AN21" s="118"/>
      <c r="AO21" s="41">
        <f>+SUM(AO17:AO20)</f>
        <v>0</v>
      </c>
      <c r="AP21" s="118"/>
      <c r="AQ21" s="41">
        <f>+SUM(AQ17:AQ20)</f>
        <v>1033</v>
      </c>
      <c r="AR21" s="118"/>
      <c r="AS21" s="41">
        <f>+SUM(AS17:AS20)</f>
        <v>696</v>
      </c>
      <c r="AT21" s="118"/>
      <c r="AU21" s="41">
        <f>+SUM(AU17:AU20)</f>
        <v>2332</v>
      </c>
      <c r="AV21" s="118"/>
      <c r="AW21" s="41">
        <f>+SUM(AW17:AW20)</f>
        <v>1833</v>
      </c>
      <c r="AX21" s="118"/>
      <c r="AY21" s="41">
        <f>+SUM(AY17:AY20)</f>
        <v>1743</v>
      </c>
      <c r="AZ21" s="118"/>
      <c r="BA21" s="41">
        <f>+SUM(BA17:BA20)</f>
        <v>1685</v>
      </c>
      <c r="BB21" s="118"/>
      <c r="BC21" s="41">
        <f>+SUM(BC17:BC20)</f>
        <v>789</v>
      </c>
      <c r="BD21" s="118"/>
      <c r="BE21" s="41">
        <f>+SUM(BE17:BE20)</f>
        <v>1343</v>
      </c>
      <c r="BF21" s="118"/>
      <c r="BG21" s="41">
        <f>+SUM(BG17:BG20)</f>
        <v>1698</v>
      </c>
      <c r="BH21" s="118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</row>
    <row r="22" spans="1:112" x14ac:dyDescent="0.2"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</row>
    <row r="23" spans="1:112" x14ac:dyDescent="0.2"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D23" s="35"/>
      <c r="BE23" s="35"/>
      <c r="BF23" s="35"/>
      <c r="BG23" s="35"/>
      <c r="BH23" s="35"/>
      <c r="BI23" s="19"/>
    </row>
    <row r="24" spans="1:112" x14ac:dyDescent="0.2"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D24" s="35"/>
      <c r="BE24" s="35"/>
      <c r="BF24" s="35"/>
      <c r="BG24" s="35"/>
      <c r="BH24" s="35"/>
      <c r="BI24" s="19"/>
    </row>
    <row r="25" spans="1:112" x14ac:dyDescent="0.2">
      <c r="A25" s="3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D25" s="20"/>
      <c r="BE25" s="20"/>
      <c r="BF25" s="20"/>
      <c r="BG25" s="20"/>
      <c r="BH25" s="20"/>
      <c r="BI25" s="19"/>
      <c r="DG25" s="37"/>
      <c r="DH25" s="37"/>
    </row>
    <row r="26" spans="1:112" x14ac:dyDescent="0.2"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242"/>
      <c r="AV26" s="35"/>
      <c r="AW26" s="35"/>
      <c r="AX26" s="35"/>
      <c r="AY26" s="35"/>
      <c r="AZ26" s="35"/>
      <c r="BA26" s="35"/>
      <c r="BB26" s="35"/>
      <c r="BD26" s="35"/>
      <c r="BE26" s="35"/>
      <c r="BF26" s="35"/>
      <c r="BG26" s="35"/>
      <c r="BH26" s="35"/>
      <c r="BI26" s="19"/>
    </row>
    <row r="27" spans="1:112" x14ac:dyDescent="0.2"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V27" s="35"/>
      <c r="AW27" s="35"/>
      <c r="AX27" s="35"/>
      <c r="AY27" s="35"/>
      <c r="AZ27" s="35"/>
      <c r="BA27" s="35"/>
      <c r="BB27" s="35"/>
      <c r="BD27" s="35"/>
      <c r="BE27" s="35"/>
      <c r="BF27" s="35"/>
      <c r="BG27" s="35"/>
      <c r="BH27" s="35"/>
      <c r="BI27" s="19"/>
    </row>
    <row r="28" spans="1:112" x14ac:dyDescent="0.2"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V28" s="35"/>
      <c r="AW28" s="35"/>
      <c r="AX28" s="35"/>
      <c r="AY28" s="35"/>
      <c r="AZ28" s="35"/>
      <c r="BA28" s="35"/>
      <c r="BB28" s="35"/>
      <c r="BD28" s="35"/>
      <c r="BE28" s="35"/>
      <c r="BF28" s="35"/>
      <c r="BG28" s="35"/>
      <c r="BH28" s="35"/>
      <c r="BI28" s="20"/>
    </row>
    <row r="29" spans="1:112" x14ac:dyDescent="0.2">
      <c r="BI29" s="19"/>
    </row>
    <row r="30" spans="1:112" x14ac:dyDescent="0.2">
      <c r="AU30" s="243"/>
      <c r="BI30" s="19"/>
    </row>
    <row r="31" spans="1:112" x14ac:dyDescent="0.2">
      <c r="BI31" s="19"/>
    </row>
    <row r="32" spans="1:112" x14ac:dyDescent="0.2">
      <c r="BI32" s="20"/>
    </row>
  </sheetData>
  <customSheetViews>
    <customSheetView guid="{E44E71C3-F2DB-4787-90CC-B0F1BDA00262}" scale="75" showPageBreaks="1" printArea="1" view="pageBreakPreview">
      <pane xSplit="1" ySplit="1" topLeftCell="B2" activePane="bottomRight" state="frozen"/>
      <selection pane="bottomRight" activeCell="AI16" sqref="AI16:AO18"/>
      <colBreaks count="1" manualBreakCount="1">
        <brk id="25" max="18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&amp;C&amp;"Arial,Bold"&amp;11City of Linwood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printArea="1" view="pageBreakPreview">
      <pane xSplit="1" ySplit="5" topLeftCell="R6" activePane="bottomRight" state="frozen"/>
      <selection pane="bottomRight" activeCell="AW15" sqref="AW15"/>
      <colBreaks count="1" manualBreakCount="1">
        <brk id="25" max="18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&amp;C&amp;"Arial,Bold"&amp;11City of Linwood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printArea="1" view="pageBreakPreview">
      <pane xSplit="1" ySplit="5" topLeftCell="R6" activePane="bottomRight" state="frozen"/>
      <selection pane="bottomRight" activeCell="AW15" sqref="AW15"/>
      <colBreaks count="1" manualBreakCount="1">
        <brk id="25" max="18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&amp;C&amp;"Arial,Bold"&amp;11City of Linwood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printArea="1" view="pageBreakPreview">
      <pane xSplit="1" ySplit="5" topLeftCell="R6" activePane="bottomRight" state="frozen"/>
      <selection pane="bottomRight" activeCell="AW15" sqref="AW15"/>
      <colBreaks count="1" manualBreakCount="1">
        <brk id="25" max="18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&amp;C&amp;"Arial,Bold"&amp;11City of Linwood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printArea="1" view="pageBreakPreview">
      <pane xSplit="1" ySplit="5" topLeftCell="R6" activePane="bottomRight" state="frozen"/>
      <selection pane="bottomRight" activeCell="AW15" sqref="AW15"/>
      <colBreaks count="1" manualBreakCount="1">
        <brk id="25" max="18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&amp;C&amp;"Arial,Bold"&amp;11City of Linwood
General Election - November 3, 2015
Prepared by the Office of Edward P. McGettigan, Atlantic County Clerk</oddHeader>
        <oddFooter>&amp;R&amp;11Page &amp;P</oddFooter>
      </headerFooter>
    </customSheetView>
  </customSheetViews>
  <mergeCells count="8">
    <mergeCell ref="AW5:BC5"/>
    <mergeCell ref="BE5:BG5"/>
    <mergeCell ref="C5:Q5"/>
    <mergeCell ref="S5:AC5"/>
    <mergeCell ref="AE5:AG5"/>
    <mergeCell ref="AI5:AK5"/>
    <mergeCell ref="AQ5:AS5"/>
    <mergeCell ref="AM5:AO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&amp;C&amp;"Arial,Bold"&amp;11City of Linwood
General Election - November 6, 2018
Prepared by the Office of Edward P. McGettigan, Atlantic County Clerk</oddHeader>
    <oddFooter>&amp;R&amp;11Page &amp;P</oddFooter>
  </headerFooter>
  <colBreaks count="2" manualBreakCount="2">
    <brk id="29" max="23" man="1"/>
    <brk id="55" max="23" man="1"/>
  </colBreaks>
  <drawing r:id="rId7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X32"/>
  <sheetViews>
    <sheetView zoomScale="75" zoomScaleNormal="75" zoomScaleSheetLayoutView="75" workbookViewId="0">
      <pane xSplit="1" ySplit="10" topLeftCell="B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33" customWidth="1"/>
    <col min="5" max="5" width="11.140625" style="33" customWidth="1"/>
    <col min="6" max="6" width="1.7109375" style="33" customWidth="1"/>
    <col min="7" max="7" width="15.8554687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5.8554687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3.7109375" style="33" customWidth="1"/>
    <col min="18" max="18" width="1.7109375" style="33" customWidth="1"/>
    <col min="19" max="19" width="13.140625" style="33" customWidth="1"/>
    <col min="20" max="20" width="1.7109375" style="33" customWidth="1"/>
    <col min="21" max="21" width="11.57031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2.140625" style="33" customWidth="1"/>
    <col min="28" max="28" width="1.7109375" style="33" customWidth="1"/>
    <col min="29" max="29" width="11.7109375" style="33" customWidth="1"/>
    <col min="30" max="30" width="1.7109375" style="33" customWidth="1"/>
    <col min="31" max="31" width="12.140625" style="33" customWidth="1"/>
    <col min="32" max="32" width="1.7109375" style="33" customWidth="1"/>
    <col min="33" max="33" width="12.85546875" style="33" customWidth="1"/>
    <col min="34" max="34" width="1.7109375" style="33" customWidth="1"/>
    <col min="35" max="35" width="11.85546875" style="33" customWidth="1"/>
    <col min="36" max="36" width="1.7109375" style="33" customWidth="1"/>
    <col min="37" max="37" width="11.85546875" style="33" customWidth="1"/>
    <col min="38" max="38" width="1.7109375" style="33" customWidth="1"/>
    <col min="39" max="39" width="11.85546875" style="33" customWidth="1"/>
    <col min="40" max="40" width="1.7109375" style="33" customWidth="1"/>
    <col min="41" max="41" width="9.7109375" style="33" customWidth="1"/>
    <col min="42" max="42" width="1.7109375" style="33" customWidth="1"/>
    <col min="43" max="43" width="9.7109375" style="33" customWidth="1"/>
    <col min="44" max="44" width="1.7109375" style="33" customWidth="1"/>
    <col min="45" max="45" width="8.85546875" style="33" bestFit="1" customWidth="1"/>
    <col min="46" max="46" width="1.7109375" style="1" customWidth="1"/>
    <col min="47" max="47" width="8.140625" style="1" bestFit="1" customWidth="1"/>
    <col min="48" max="48" width="1.7109375" style="1" customWidth="1"/>
    <col min="49" max="49" width="11.42578125" style="1" customWidth="1"/>
    <col min="50" max="50" width="1.7109375" style="1" customWidth="1"/>
    <col min="51" max="51" width="11.85546875" style="1" customWidth="1"/>
    <col min="52" max="52" width="1.7109375" style="1" customWidth="1"/>
    <col min="53" max="53" width="6.85546875" style="1" bestFit="1" customWidth="1"/>
    <col min="54" max="54" width="1.7109375" style="1" customWidth="1"/>
    <col min="55" max="55" width="11.85546875" style="1" customWidth="1"/>
    <col min="56" max="56" width="1.7109375" style="1" customWidth="1"/>
    <col min="57" max="57" width="11.85546875" style="1" customWidth="1"/>
    <col min="58" max="58" width="1.7109375" style="33" customWidth="1"/>
    <col min="59" max="59" width="11.85546875" style="33" customWidth="1"/>
    <col min="60" max="60" width="1.7109375" style="19" customWidth="1"/>
    <col min="61" max="61" width="11.85546875" style="19" customWidth="1"/>
    <col min="62" max="62" width="1.7109375" style="19" customWidth="1"/>
    <col min="63" max="63" width="11.85546875" style="19" customWidth="1"/>
    <col min="64" max="64" width="1.7109375" style="19" customWidth="1"/>
    <col min="65" max="65" width="11.85546875" style="19" customWidth="1"/>
    <col min="66" max="66" width="1.7109375" style="19" customWidth="1"/>
    <col min="67" max="67" width="11.85546875" style="19" customWidth="1"/>
    <col min="68" max="68" width="1.7109375" style="19" customWidth="1"/>
    <col min="69" max="69" width="11.85546875" style="19" customWidth="1"/>
    <col min="70" max="70" width="1.7109375" style="19" customWidth="1"/>
    <col min="71" max="71" width="9.140625" style="19"/>
    <col min="72" max="72" width="1.7109375" style="19" customWidth="1"/>
    <col min="73" max="102" width="9.140625" style="19"/>
    <col min="103" max="16384" width="9.140625" style="11"/>
  </cols>
  <sheetData>
    <row r="1" spans="1:102" x14ac:dyDescent="0.2">
      <c r="AM1" s="11"/>
    </row>
    <row r="2" spans="1:102" ht="15" x14ac:dyDescent="0.25">
      <c r="AM2" s="453" t="s">
        <v>373</v>
      </c>
    </row>
    <row r="3" spans="1:102" ht="15" x14ac:dyDescent="0.25">
      <c r="AM3" s="453" t="s">
        <v>387</v>
      </c>
    </row>
    <row r="4" spans="1:102" ht="15" x14ac:dyDescent="0.25"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311"/>
      <c r="S4" s="311"/>
      <c r="T4" s="311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23"/>
      <c r="AI4" s="323"/>
      <c r="AJ4" s="323"/>
      <c r="AK4" s="323"/>
      <c r="AL4" s="290"/>
      <c r="AM4" s="453" t="s">
        <v>375</v>
      </c>
      <c r="AN4" s="290"/>
      <c r="AO4" s="290"/>
      <c r="AP4" s="290"/>
      <c r="AQ4" s="290"/>
      <c r="AR4" s="290"/>
    </row>
    <row r="5" spans="1:102" ht="15.75" thickBot="1" x14ac:dyDescent="0.3"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181</v>
      </c>
      <c r="AJ5" s="464"/>
      <c r="AK5" s="464"/>
      <c r="AL5" s="50"/>
      <c r="AM5" s="310" t="s">
        <v>376</v>
      </c>
      <c r="AN5" s="50"/>
      <c r="AO5" s="457" t="s">
        <v>196</v>
      </c>
      <c r="AP5" s="457"/>
      <c r="AQ5" s="457"/>
      <c r="AR5" s="50"/>
    </row>
    <row r="6" spans="1:102" ht="15" x14ac:dyDescent="0.25"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90"/>
      <c r="AI6" s="103"/>
      <c r="AJ6" s="104"/>
      <c r="AK6" s="105"/>
      <c r="AL6" s="290"/>
      <c r="AM6" s="417"/>
      <c r="AN6" s="290"/>
      <c r="AO6" s="172"/>
      <c r="AP6" s="173"/>
      <c r="AQ6" s="174"/>
      <c r="AR6" s="290"/>
      <c r="AS6" s="79"/>
      <c r="AT6" s="77"/>
      <c r="AU6" s="81"/>
      <c r="AV6" s="77"/>
      <c r="AW6" s="81"/>
      <c r="AX6" s="77"/>
      <c r="AY6" s="81"/>
      <c r="AZ6" s="77"/>
      <c r="BA6" s="82"/>
    </row>
    <row r="7" spans="1:102" ht="15" x14ac:dyDescent="0.25"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tr">
        <f>+'Lead Sheet '!AI5</f>
        <v>Maureen</v>
      </c>
      <c r="AJ7" s="290"/>
      <c r="AK7" s="107" t="str">
        <f>+'Lead Sheet '!AK5</f>
        <v>Maureen</v>
      </c>
      <c r="AL7" s="290"/>
      <c r="AM7" s="418" t="s">
        <v>121</v>
      </c>
      <c r="AN7" s="290"/>
      <c r="AO7" s="155"/>
      <c r="AP7" s="324"/>
      <c r="AQ7" s="156"/>
      <c r="AR7" s="290"/>
      <c r="AS7" s="78" t="s">
        <v>24</v>
      </c>
      <c r="AT7" s="76"/>
      <c r="AU7" s="83" t="s">
        <v>24</v>
      </c>
      <c r="AV7" s="76"/>
      <c r="AW7" s="83" t="s">
        <v>24</v>
      </c>
      <c r="AX7" s="76"/>
      <c r="AY7" s="83" t="s">
        <v>24</v>
      </c>
      <c r="AZ7" s="76"/>
      <c r="BA7" s="84" t="s">
        <v>24</v>
      </c>
    </row>
    <row r="8" spans="1:102" ht="14.25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tr">
        <f>+'Lead Sheet '!AI6</f>
        <v>KERN</v>
      </c>
      <c r="AJ8" s="290"/>
      <c r="AK8" s="107" t="str">
        <f>+'Lead Sheet '!AK6</f>
        <v>LEIDY</v>
      </c>
      <c r="AL8" s="290"/>
      <c r="AM8" s="418" t="s">
        <v>386</v>
      </c>
      <c r="AN8" s="290"/>
      <c r="AO8" s="315" t="s">
        <v>106</v>
      </c>
      <c r="AP8" s="143"/>
      <c r="AQ8" s="316" t="s">
        <v>107</v>
      </c>
      <c r="AR8" s="290"/>
      <c r="AS8" s="78" t="s">
        <v>83</v>
      </c>
      <c r="AT8" s="76"/>
      <c r="AU8" s="83" t="s">
        <v>84</v>
      </c>
      <c r="AV8" s="76"/>
      <c r="AW8" s="83" t="s">
        <v>85</v>
      </c>
      <c r="AX8" s="76"/>
      <c r="AY8" s="83" t="s">
        <v>86</v>
      </c>
      <c r="AZ8" s="76"/>
      <c r="BA8" s="84" t="s">
        <v>87</v>
      </c>
    </row>
    <row r="9" spans="1:102" ht="14.25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tr">
        <f>+'Lead Sheet '!AI7</f>
        <v>Republican</v>
      </c>
      <c r="AJ9" s="290"/>
      <c r="AK9" s="107" t="str">
        <f>+'Lead Sheet '!AK7</f>
        <v>Democratic</v>
      </c>
      <c r="AL9" s="290"/>
      <c r="AM9" s="418"/>
      <c r="AN9" s="290"/>
      <c r="AO9" s="296"/>
      <c r="AP9" s="295"/>
      <c r="AQ9" s="297"/>
      <c r="AR9" s="290"/>
      <c r="AS9" s="78" t="s">
        <v>89</v>
      </c>
      <c r="AT9" s="76"/>
      <c r="AU9" s="83" t="s">
        <v>90</v>
      </c>
      <c r="AV9" s="76"/>
      <c r="AW9" s="83" t="s">
        <v>89</v>
      </c>
      <c r="AX9" s="76"/>
      <c r="AY9" s="83" t="s">
        <v>89</v>
      </c>
      <c r="AZ9" s="76"/>
      <c r="BA9" s="84" t="s">
        <v>89</v>
      </c>
    </row>
    <row r="10" spans="1:102" ht="15" thickBot="1" x14ac:dyDescent="0.25"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90"/>
      <c r="AM10" s="419"/>
      <c r="AN10" s="290"/>
      <c r="AO10" s="146"/>
      <c r="AP10" s="144"/>
      <c r="AQ10" s="145"/>
      <c r="AR10" s="290"/>
      <c r="AS10" s="80"/>
      <c r="AT10" s="85"/>
      <c r="AU10" s="85"/>
      <c r="AV10" s="85"/>
      <c r="AW10" s="85"/>
      <c r="AX10" s="85"/>
      <c r="AY10" s="85"/>
      <c r="AZ10" s="85"/>
      <c r="BA10" s="86"/>
    </row>
    <row r="11" spans="1:102" x14ac:dyDescent="0.2">
      <c r="A11" s="9" t="s">
        <v>53</v>
      </c>
      <c r="C11" s="18">
        <f>158+87</f>
        <v>245</v>
      </c>
      <c r="D11" s="19"/>
      <c r="E11" s="18">
        <f>49+48</f>
        <v>97</v>
      </c>
      <c r="F11" s="19"/>
      <c r="G11" s="18">
        <f>5+1</f>
        <v>6</v>
      </c>
      <c r="H11" s="19"/>
      <c r="I11" s="18">
        <v>1</v>
      </c>
      <c r="J11" s="19"/>
      <c r="K11" s="18">
        <v>0</v>
      </c>
      <c r="L11" s="19"/>
      <c r="M11" s="18">
        <v>0</v>
      </c>
      <c r="N11" s="19"/>
      <c r="O11" s="18">
        <v>1</v>
      </c>
      <c r="P11" s="19"/>
      <c r="Q11" s="18">
        <v>1</v>
      </c>
      <c r="R11" s="19"/>
      <c r="S11" s="18">
        <f>137+82</f>
        <v>219</v>
      </c>
      <c r="T11" s="19"/>
      <c r="U11" s="18">
        <f>74+55</f>
        <v>129</v>
      </c>
      <c r="V11" s="19"/>
      <c r="W11" s="18">
        <v>0</v>
      </c>
      <c r="X11" s="19"/>
      <c r="Y11" s="18">
        <v>0</v>
      </c>
      <c r="Z11" s="19"/>
      <c r="AA11" s="18">
        <v>0</v>
      </c>
      <c r="AB11" s="19"/>
      <c r="AC11" s="18">
        <v>0</v>
      </c>
      <c r="AD11" s="19"/>
      <c r="AE11" s="18">
        <f>157+96</f>
        <v>253</v>
      </c>
      <c r="AF11" s="19"/>
      <c r="AG11" s="18">
        <f>52+41</f>
        <v>93</v>
      </c>
      <c r="AH11" s="19"/>
      <c r="AI11" s="18">
        <f>151+89</f>
        <v>240</v>
      </c>
      <c r="AJ11" s="19"/>
      <c r="AK11" s="18">
        <f>57+46</f>
        <v>103</v>
      </c>
      <c r="AL11" s="19"/>
      <c r="AM11" s="18">
        <f>111+66</f>
        <v>177</v>
      </c>
      <c r="AN11" s="19"/>
      <c r="AO11" s="18">
        <f>70+53</f>
        <v>123</v>
      </c>
      <c r="AP11" s="19"/>
      <c r="AQ11" s="18">
        <f>107+69</f>
        <v>176</v>
      </c>
      <c r="AR11" s="19"/>
      <c r="AS11" s="18">
        <f>215+140</f>
        <v>355</v>
      </c>
      <c r="AT11" s="19"/>
      <c r="AU11" s="18">
        <v>83</v>
      </c>
      <c r="AV11" s="19"/>
      <c r="AW11" s="18">
        <v>12</v>
      </c>
      <c r="AX11" s="19"/>
      <c r="AY11" s="18"/>
      <c r="AZ11" s="19"/>
      <c r="BA11" s="18">
        <f>+SUM(AS11:AY11)</f>
        <v>450</v>
      </c>
    </row>
    <row r="12" spans="1:102" ht="13.5" thickBot="1" x14ac:dyDescent="0.25"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</row>
    <row r="13" spans="1:102" s="48" customFormat="1" ht="13.5" thickBot="1" x14ac:dyDescent="0.25">
      <c r="A13" s="3" t="s">
        <v>24</v>
      </c>
      <c r="C13" s="41">
        <f>+C11</f>
        <v>245</v>
      </c>
      <c r="D13" s="57"/>
      <c r="E13" s="41">
        <f>+E11</f>
        <v>97</v>
      </c>
      <c r="F13" s="57"/>
      <c r="G13" s="41">
        <f>+G11</f>
        <v>6</v>
      </c>
      <c r="H13" s="57"/>
      <c r="I13" s="41">
        <f>+I11</f>
        <v>1</v>
      </c>
      <c r="J13" s="57"/>
      <c r="K13" s="41">
        <f>+K11</f>
        <v>0</v>
      </c>
      <c r="L13" s="57"/>
      <c r="M13" s="41">
        <f>+M11</f>
        <v>0</v>
      </c>
      <c r="N13" s="57"/>
      <c r="O13" s="41">
        <f>+O11</f>
        <v>1</v>
      </c>
      <c r="P13" s="57"/>
      <c r="Q13" s="41">
        <f>+Q11</f>
        <v>1</v>
      </c>
      <c r="R13" s="57"/>
      <c r="S13" s="41">
        <f>+S11</f>
        <v>219</v>
      </c>
      <c r="T13" s="57"/>
      <c r="U13" s="41">
        <f>+U11</f>
        <v>129</v>
      </c>
      <c r="V13" s="57"/>
      <c r="W13" s="41">
        <f>+W11</f>
        <v>0</v>
      </c>
      <c r="X13" s="57"/>
      <c r="Y13" s="41">
        <f>+Y11</f>
        <v>0</v>
      </c>
      <c r="Z13" s="57"/>
      <c r="AA13" s="41">
        <f>+AA11</f>
        <v>0</v>
      </c>
      <c r="AB13" s="57"/>
      <c r="AC13" s="41">
        <f>+AC11</f>
        <v>0</v>
      </c>
      <c r="AD13" s="57"/>
      <c r="AE13" s="41">
        <f>+AE11</f>
        <v>253</v>
      </c>
      <c r="AF13" s="57"/>
      <c r="AG13" s="41">
        <f>+AG11</f>
        <v>93</v>
      </c>
      <c r="AH13" s="57"/>
      <c r="AI13" s="41">
        <f>+AI11</f>
        <v>240</v>
      </c>
      <c r="AJ13" s="57"/>
      <c r="AK13" s="41">
        <f>+AK11</f>
        <v>103</v>
      </c>
      <c r="AL13" s="57"/>
      <c r="AM13" s="41">
        <f>+AM11</f>
        <v>177</v>
      </c>
      <c r="AN13" s="57"/>
      <c r="AO13" s="41">
        <f>+AO11</f>
        <v>123</v>
      </c>
      <c r="AP13" s="57"/>
      <c r="AQ13" s="41">
        <f>+AQ11</f>
        <v>176</v>
      </c>
      <c r="AR13" s="57"/>
      <c r="AS13" s="41">
        <f>+AS11</f>
        <v>355</v>
      </c>
      <c r="AT13" s="42"/>
      <c r="AU13" s="41">
        <f>+AU11</f>
        <v>83</v>
      </c>
      <c r="AV13" s="42"/>
      <c r="AW13" s="41">
        <f>+AW11</f>
        <v>12</v>
      </c>
      <c r="AX13" s="42"/>
      <c r="AY13" s="41">
        <f>+AY11</f>
        <v>0</v>
      </c>
      <c r="AZ13" s="42"/>
      <c r="BA13" s="41">
        <f>+BA11</f>
        <v>450</v>
      </c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</row>
    <row r="14" spans="1:102" x14ac:dyDescent="0.2">
      <c r="A14" s="36" t="s">
        <v>73</v>
      </c>
      <c r="C14" s="19">
        <v>49</v>
      </c>
      <c r="D14" s="19"/>
      <c r="E14" s="19">
        <v>29</v>
      </c>
      <c r="F14" s="19"/>
      <c r="G14" s="19">
        <v>0</v>
      </c>
      <c r="H14" s="19"/>
      <c r="I14" s="19">
        <v>0</v>
      </c>
      <c r="J14" s="19"/>
      <c r="K14" s="19">
        <v>2</v>
      </c>
      <c r="L14" s="19"/>
      <c r="M14" s="19">
        <v>1</v>
      </c>
      <c r="N14" s="19"/>
      <c r="O14" s="19">
        <v>0</v>
      </c>
      <c r="P14" s="19"/>
      <c r="Q14" s="19">
        <v>0</v>
      </c>
      <c r="R14" s="19"/>
      <c r="S14" s="19">
        <v>42</v>
      </c>
      <c r="T14" s="19"/>
      <c r="U14" s="19">
        <v>39</v>
      </c>
      <c r="V14" s="19"/>
      <c r="W14" s="19">
        <v>0</v>
      </c>
      <c r="X14" s="19"/>
      <c r="Y14" s="19">
        <v>0</v>
      </c>
      <c r="Z14" s="19"/>
      <c r="AA14" s="19">
        <v>1</v>
      </c>
      <c r="AB14" s="19"/>
      <c r="AC14" s="19">
        <v>0</v>
      </c>
      <c r="AD14" s="19"/>
      <c r="AE14" s="19">
        <v>51</v>
      </c>
      <c r="AF14" s="19"/>
      <c r="AG14" s="19">
        <v>31</v>
      </c>
      <c r="AH14" s="19"/>
      <c r="AI14" s="19">
        <v>46</v>
      </c>
      <c r="AJ14" s="19"/>
      <c r="AK14" s="19">
        <v>34</v>
      </c>
      <c r="AL14" s="19"/>
      <c r="AM14" s="19">
        <v>52</v>
      </c>
      <c r="AN14" s="19"/>
      <c r="AO14" s="19">
        <v>38</v>
      </c>
      <c r="AP14" s="19"/>
      <c r="AQ14" s="19">
        <v>41</v>
      </c>
      <c r="AR14" s="19"/>
      <c r="AS14" s="19"/>
      <c r="AU14" s="19"/>
      <c r="AW14" s="19"/>
    </row>
    <row r="15" spans="1:102" x14ac:dyDescent="0.2">
      <c r="A15" s="4" t="s">
        <v>25</v>
      </c>
      <c r="C15" s="19">
        <v>9</v>
      </c>
      <c r="D15" s="19"/>
      <c r="E15" s="19">
        <v>2</v>
      </c>
      <c r="F15" s="19"/>
      <c r="G15" s="19">
        <v>0</v>
      </c>
      <c r="H15" s="19"/>
      <c r="I15" s="19">
        <v>0</v>
      </c>
      <c r="J15" s="19"/>
      <c r="K15" s="19">
        <v>0</v>
      </c>
      <c r="L15" s="19"/>
      <c r="M15" s="19">
        <v>1</v>
      </c>
      <c r="N15" s="19"/>
      <c r="O15" s="19">
        <v>0</v>
      </c>
      <c r="P15" s="35"/>
      <c r="Q15" s="19">
        <v>0</v>
      </c>
      <c r="R15" s="19"/>
      <c r="S15" s="19">
        <v>7</v>
      </c>
      <c r="T15" s="19"/>
      <c r="U15" s="19">
        <v>4</v>
      </c>
      <c r="V15" s="19"/>
      <c r="W15" s="19">
        <v>0</v>
      </c>
      <c r="X15" s="19"/>
      <c r="Y15" s="19">
        <v>0</v>
      </c>
      <c r="Z15" s="19"/>
      <c r="AA15" s="19">
        <v>0</v>
      </c>
      <c r="AB15" s="19"/>
      <c r="AC15" s="19">
        <v>0</v>
      </c>
      <c r="AD15" s="19"/>
      <c r="AE15" s="19">
        <v>9</v>
      </c>
      <c r="AF15" s="19"/>
      <c r="AG15" s="19">
        <v>3</v>
      </c>
      <c r="AH15" s="19"/>
      <c r="AI15" s="19">
        <v>9</v>
      </c>
      <c r="AJ15" s="19"/>
      <c r="AK15" s="19">
        <v>3</v>
      </c>
      <c r="AL15" s="19"/>
      <c r="AM15" s="19">
        <v>9</v>
      </c>
      <c r="AN15" s="19"/>
      <c r="AO15" s="19">
        <v>4</v>
      </c>
      <c r="AP15" s="19"/>
      <c r="AQ15" s="19">
        <v>4</v>
      </c>
      <c r="AR15" s="19"/>
      <c r="AS15" s="19"/>
      <c r="AU15" s="19"/>
      <c r="AW15" s="19"/>
    </row>
    <row r="16" spans="1:102" s="10" customFormat="1" ht="13.5" thickBot="1" x14ac:dyDescent="0.25">
      <c r="A16" s="4" t="s">
        <v>79</v>
      </c>
      <c r="C16" s="19">
        <v>0</v>
      </c>
      <c r="D16" s="19"/>
      <c r="E16" s="19">
        <v>0</v>
      </c>
      <c r="F16" s="19"/>
      <c r="G16" s="19">
        <v>0</v>
      </c>
      <c r="H16" s="19"/>
      <c r="I16" s="19">
        <v>0</v>
      </c>
      <c r="J16" s="19"/>
      <c r="K16" s="19">
        <v>0</v>
      </c>
      <c r="L16" s="19"/>
      <c r="M16" s="19">
        <v>0</v>
      </c>
      <c r="N16" s="19"/>
      <c r="O16" s="19">
        <v>0</v>
      </c>
      <c r="P16" s="19"/>
      <c r="Q16" s="19">
        <v>0</v>
      </c>
      <c r="R16" s="19"/>
      <c r="S16" s="19">
        <v>0</v>
      </c>
      <c r="T16" s="19"/>
      <c r="U16" s="19">
        <v>0</v>
      </c>
      <c r="V16" s="19"/>
      <c r="W16" s="19">
        <v>0</v>
      </c>
      <c r="X16" s="19"/>
      <c r="Y16" s="19">
        <v>0</v>
      </c>
      <c r="Z16" s="19"/>
      <c r="AA16" s="19">
        <v>0</v>
      </c>
      <c r="AB16" s="19"/>
      <c r="AC16" s="19">
        <v>0</v>
      </c>
      <c r="AD16" s="19"/>
      <c r="AE16" s="19">
        <v>0</v>
      </c>
      <c r="AF16" s="19"/>
      <c r="AG16" s="19">
        <v>0</v>
      </c>
      <c r="AH16" s="19"/>
      <c r="AI16" s="19">
        <v>0</v>
      </c>
      <c r="AJ16" s="19"/>
      <c r="AK16" s="19">
        <v>0</v>
      </c>
      <c r="AL16" s="19"/>
      <c r="AM16" s="19">
        <v>0</v>
      </c>
      <c r="AN16" s="19"/>
      <c r="AO16" s="19">
        <v>0</v>
      </c>
      <c r="AP16" s="19"/>
      <c r="AQ16" s="19">
        <v>0</v>
      </c>
      <c r="AR16" s="19"/>
      <c r="AS16" s="19"/>
      <c r="AT16" s="1"/>
      <c r="AU16" s="19"/>
      <c r="AV16" s="1"/>
      <c r="AW16" s="19"/>
      <c r="AX16" s="1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</row>
    <row r="17" spans="1:102" s="48" customFormat="1" ht="13.5" thickBot="1" x14ac:dyDescent="0.25">
      <c r="A17" s="3" t="s">
        <v>26</v>
      </c>
      <c r="C17" s="41">
        <f>+SUM(C13:C16)</f>
        <v>303</v>
      </c>
      <c r="D17" s="57"/>
      <c r="E17" s="41">
        <f>+SUM(E13:E16)</f>
        <v>128</v>
      </c>
      <c r="F17" s="57"/>
      <c r="G17" s="41">
        <f>+SUM(G13:G16)</f>
        <v>6</v>
      </c>
      <c r="H17" s="57"/>
      <c r="I17" s="41">
        <f>+SUM(I13:I16)</f>
        <v>1</v>
      </c>
      <c r="J17" s="57"/>
      <c r="K17" s="41">
        <f>+SUM(K13:K16)</f>
        <v>2</v>
      </c>
      <c r="L17" s="57"/>
      <c r="M17" s="41">
        <f>+SUM(M13:M16)</f>
        <v>2</v>
      </c>
      <c r="N17" s="57"/>
      <c r="O17" s="41">
        <f>+SUM(O13:O16)</f>
        <v>1</v>
      </c>
      <c r="P17" s="57"/>
      <c r="Q17" s="41">
        <f>+SUM(Q13:Q16)</f>
        <v>1</v>
      </c>
      <c r="R17" s="57"/>
      <c r="S17" s="41">
        <f>+SUM(S13:S16)</f>
        <v>268</v>
      </c>
      <c r="T17" s="57"/>
      <c r="U17" s="41">
        <f>+SUM(U13:U16)</f>
        <v>172</v>
      </c>
      <c r="V17" s="57"/>
      <c r="W17" s="41">
        <f>+SUM(W13:W16)</f>
        <v>0</v>
      </c>
      <c r="X17" s="57"/>
      <c r="Y17" s="41">
        <f>+SUM(Y13:Y16)</f>
        <v>0</v>
      </c>
      <c r="Z17" s="57"/>
      <c r="AA17" s="41">
        <f>+SUM(AA13:AA16)</f>
        <v>1</v>
      </c>
      <c r="AB17" s="57"/>
      <c r="AC17" s="41">
        <f>+SUM(AC13:AC16)</f>
        <v>0</v>
      </c>
      <c r="AD17" s="57"/>
      <c r="AE17" s="41">
        <f>+SUM(AE13:AE16)</f>
        <v>313</v>
      </c>
      <c r="AF17" s="57"/>
      <c r="AG17" s="41">
        <f>+SUM(AG13:AG16)</f>
        <v>127</v>
      </c>
      <c r="AH17" s="57"/>
      <c r="AI17" s="41">
        <f>+SUM(AI13:AI16)</f>
        <v>295</v>
      </c>
      <c r="AJ17" s="57"/>
      <c r="AK17" s="41">
        <f>+SUM(AK13:AK16)</f>
        <v>140</v>
      </c>
      <c r="AL17" s="57"/>
      <c r="AM17" s="41">
        <f>+SUM(AM13:AM16)</f>
        <v>238</v>
      </c>
      <c r="AN17" s="57"/>
      <c r="AO17" s="41">
        <f>+SUM(AO13:AO16)</f>
        <v>165</v>
      </c>
      <c r="AP17" s="57"/>
      <c r="AQ17" s="41">
        <f>+SUM(AQ13:AQ16)</f>
        <v>221</v>
      </c>
      <c r="AR17" s="57"/>
      <c r="AS17" s="42"/>
      <c r="AT17" s="44"/>
      <c r="AU17" s="42"/>
      <c r="AV17" s="44"/>
      <c r="AW17" s="42"/>
      <c r="AX17" s="40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</row>
    <row r="18" spans="1:102" x14ac:dyDescent="0.2"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</row>
    <row r="19" spans="1:102" x14ac:dyDescent="0.2"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</row>
    <row r="20" spans="1:102" s="10" customFormat="1" x14ac:dyDescent="0.2">
      <c r="A20" s="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33"/>
      <c r="BG20" s="33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</row>
    <row r="21" spans="1:102" x14ac:dyDescent="0.2"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</row>
    <row r="22" spans="1:102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</row>
    <row r="23" spans="1:102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</row>
    <row r="24" spans="1:102" x14ac:dyDescent="0.2"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</row>
    <row r="25" spans="1:102" x14ac:dyDescent="0.2"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</row>
    <row r="26" spans="1:102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</row>
    <row r="27" spans="1:102" x14ac:dyDescent="0.2"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</row>
    <row r="28" spans="1:102" x14ac:dyDescent="0.2"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</row>
    <row r="29" spans="1:102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</row>
    <row r="30" spans="1:102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</row>
    <row r="31" spans="1:102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</row>
    <row r="32" spans="1:102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</row>
  </sheetData>
  <customSheetViews>
    <customSheetView guid="{E44E71C3-F2DB-4787-90CC-B0F1BDA00262}" scale="75" showPageBreaks="1" printArea="1" view="pageBreakPreview">
      <pane xSplit="1" ySplit="1" topLeftCell="B2" activePane="bottomRight" state="frozen"/>
      <selection pane="bottomRight" activeCell="U12" sqref="U12:AA14"/>
      <colBreaks count="2" manualBreakCount="2">
        <brk id="25" max="1048575" man="1"/>
        <brk id="51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&amp;C&amp;"Arial,Bold"&amp;11Borough of Longport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B6" activePane="bottomRight" state="frozen"/>
      <selection pane="bottomRight" activeCell="AE11" sqref="AE11"/>
      <colBreaks count="2" manualBreakCount="2">
        <brk id="25" max="1048575" man="1"/>
        <brk id="51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&amp;C&amp;"Arial,Bold"&amp;11Borough of Longport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B6" activePane="bottomRight" state="frozen"/>
      <selection pane="bottomRight" activeCell="AE11" sqref="AE11"/>
      <colBreaks count="2" manualBreakCount="2">
        <brk id="25" max="1048575" man="1"/>
        <brk id="51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&amp;C&amp;"Arial,Bold"&amp;11Borough of Longport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B6" activePane="bottomRight" state="frozen"/>
      <selection pane="bottomRight" activeCell="AE11" sqref="AE11"/>
      <colBreaks count="2" manualBreakCount="2">
        <brk id="25" max="1048575" man="1"/>
        <brk id="51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&amp;C&amp;"Arial,Bold"&amp;11Borough of Longport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B6" activePane="bottomRight" state="frozen"/>
      <selection pane="bottomRight" activeCell="AE11" sqref="AE11"/>
      <colBreaks count="2" manualBreakCount="2">
        <brk id="25" max="1048575" man="1"/>
        <brk id="51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&amp;C&amp;"Arial,Bold"&amp;11Borough of Longport
General Election - November 3, 2015
Prepared by the Office of Edward P. McGettigan, Atlantic County Clerk</oddHeader>
        <oddFooter>&amp;R&amp;11Page &amp;P</oddFooter>
      </headerFooter>
    </customSheetView>
  </customSheetViews>
  <mergeCells count="5">
    <mergeCell ref="C5:Q5"/>
    <mergeCell ref="S5:AC5"/>
    <mergeCell ref="AE5:AG5"/>
    <mergeCell ref="AI5:AK5"/>
    <mergeCell ref="AO5:AQ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&amp;C&amp;"Arial,Bold"&amp;11Borough of Longport
General Election - November 6, 2018
Prepared by the Office of Edward P. McGettigan, Atlantic County Clerk</oddHeader>
    <oddFooter>&amp;R&amp;11Page &amp;P</oddFooter>
  </headerFooter>
  <colBreaks count="2" manualBreakCount="2">
    <brk id="29" max="18" man="1"/>
    <brk id="67" max="1048575" man="1"/>
  </colBreaks>
  <drawing r:id="rId7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4:CH42"/>
  <sheetViews>
    <sheetView zoomScale="75" zoomScaleNormal="75" zoomScaleSheetLayoutView="75" workbookViewId="0">
      <pane xSplit="1" ySplit="10" topLeftCell="B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33" customWidth="1"/>
    <col min="5" max="5" width="11.5703125" style="33" customWidth="1"/>
    <col min="6" max="6" width="1.7109375" style="33" customWidth="1"/>
    <col min="7" max="7" width="15.8554687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5.8554687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4" style="33" customWidth="1"/>
    <col min="18" max="18" width="1.7109375" style="33" customWidth="1"/>
    <col min="19" max="19" width="13" style="33" customWidth="1"/>
    <col min="20" max="20" width="1.7109375" style="33" customWidth="1"/>
    <col min="21" max="21" width="10.57031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2.140625" style="33" customWidth="1"/>
    <col min="28" max="28" width="1.7109375" style="33" customWidth="1"/>
    <col min="29" max="29" width="11.85546875" style="33" customWidth="1"/>
    <col min="30" max="30" width="1.7109375" style="33" customWidth="1"/>
    <col min="31" max="31" width="13" style="33" customWidth="1"/>
    <col min="32" max="32" width="1.7109375" style="33" customWidth="1"/>
    <col min="33" max="33" width="13.7109375" style="33" bestFit="1" customWidth="1"/>
    <col min="34" max="34" width="1.7109375" style="33" customWidth="1"/>
    <col min="35" max="35" width="11.85546875" style="33" customWidth="1"/>
    <col min="36" max="36" width="1.7109375" style="33" customWidth="1"/>
    <col min="37" max="37" width="12.140625" style="33" customWidth="1"/>
    <col min="38" max="38" width="1.7109375" style="33" customWidth="1"/>
    <col min="39" max="39" width="9.7109375" style="33" customWidth="1"/>
    <col min="40" max="40" width="1.7109375" style="33" customWidth="1"/>
    <col min="41" max="41" width="9.7109375" style="33" customWidth="1"/>
    <col min="42" max="42" width="1.7109375" style="33" customWidth="1"/>
    <col min="43" max="43" width="10.140625" style="19" customWidth="1"/>
    <col min="44" max="44" width="1.7109375" style="19" customWidth="1"/>
    <col min="45" max="45" width="9.5703125" style="19" customWidth="1"/>
    <col min="46" max="46" width="1.7109375" style="19" customWidth="1"/>
    <col min="47" max="47" width="11.7109375" style="19" customWidth="1"/>
    <col min="48" max="48" width="1.7109375" style="19" customWidth="1"/>
    <col min="49" max="49" width="11.28515625" style="19" customWidth="1"/>
    <col min="50" max="50" width="1.7109375" style="19" customWidth="1"/>
    <col min="51" max="51" width="11.85546875" style="19" customWidth="1"/>
    <col min="52" max="52" width="1.7109375" style="19" customWidth="1"/>
    <col min="53" max="53" width="11.85546875" style="19" customWidth="1"/>
    <col min="54" max="54" width="1.7109375" style="19" customWidth="1"/>
    <col min="55" max="55" width="9.140625" style="19"/>
    <col min="56" max="56" width="1.7109375" style="19" customWidth="1"/>
    <col min="57" max="86" width="9.140625" style="19"/>
    <col min="87" max="16384" width="9.140625" style="11"/>
  </cols>
  <sheetData>
    <row r="4" spans="1:86" ht="15" x14ac:dyDescent="0.25"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311"/>
      <c r="S4" s="311"/>
      <c r="T4" s="311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23"/>
      <c r="AI4" s="323"/>
      <c r="AJ4" s="323"/>
      <c r="AK4" s="323"/>
      <c r="AL4" s="290"/>
      <c r="AM4" s="290"/>
      <c r="AN4" s="290"/>
      <c r="AO4" s="290"/>
      <c r="AP4" s="290"/>
    </row>
    <row r="5" spans="1:86" ht="15.75" thickBot="1" x14ac:dyDescent="0.3"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181</v>
      </c>
      <c r="AJ5" s="464"/>
      <c r="AK5" s="464"/>
      <c r="AL5" s="50"/>
      <c r="AM5" s="457" t="s">
        <v>196</v>
      </c>
      <c r="AN5" s="457"/>
      <c r="AO5" s="457"/>
      <c r="AP5" s="50"/>
    </row>
    <row r="6" spans="1:86" ht="15" x14ac:dyDescent="0.25"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90"/>
      <c r="AI6" s="103"/>
      <c r="AJ6" s="104"/>
      <c r="AK6" s="105"/>
      <c r="AL6" s="290"/>
      <c r="AM6" s="172"/>
      <c r="AN6" s="173"/>
      <c r="AO6" s="174"/>
      <c r="AP6" s="290"/>
      <c r="AQ6" s="79"/>
      <c r="AR6" s="77"/>
      <c r="AS6" s="81"/>
      <c r="AT6" s="77"/>
      <c r="AU6" s="81"/>
      <c r="AV6" s="77"/>
      <c r="AW6" s="81"/>
      <c r="AX6" s="77"/>
      <c r="AY6" s="82"/>
    </row>
    <row r="7" spans="1:86" ht="15" x14ac:dyDescent="0.25"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tr">
        <f>+'Lead Sheet '!AI5</f>
        <v>Maureen</v>
      </c>
      <c r="AJ7" s="290"/>
      <c r="AK7" s="107" t="str">
        <f>+'Lead Sheet '!AK5</f>
        <v>Maureen</v>
      </c>
      <c r="AL7" s="290"/>
      <c r="AM7" s="155"/>
      <c r="AN7" s="324"/>
      <c r="AO7" s="156"/>
      <c r="AP7" s="290"/>
      <c r="AQ7" s="78" t="s">
        <v>24</v>
      </c>
      <c r="AR7" s="76"/>
      <c r="AS7" s="83" t="s">
        <v>24</v>
      </c>
      <c r="AT7" s="76"/>
      <c r="AU7" s="83" t="s">
        <v>24</v>
      </c>
      <c r="AV7" s="76"/>
      <c r="AW7" s="83" t="s">
        <v>24</v>
      </c>
      <c r="AX7" s="76"/>
      <c r="AY7" s="84" t="s">
        <v>24</v>
      </c>
    </row>
    <row r="8" spans="1:86" ht="14.25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tr">
        <f>+'Lead Sheet '!AI6</f>
        <v>KERN</v>
      </c>
      <c r="AJ8" s="290"/>
      <c r="AK8" s="107" t="str">
        <f>+'Lead Sheet '!AK6</f>
        <v>LEIDY</v>
      </c>
      <c r="AL8" s="290"/>
      <c r="AM8" s="315" t="s">
        <v>106</v>
      </c>
      <c r="AN8" s="143"/>
      <c r="AO8" s="316" t="s">
        <v>107</v>
      </c>
      <c r="AP8" s="290"/>
      <c r="AQ8" s="78" t="s">
        <v>83</v>
      </c>
      <c r="AR8" s="76"/>
      <c r="AS8" s="83" t="s">
        <v>84</v>
      </c>
      <c r="AT8" s="76"/>
      <c r="AU8" s="83" t="s">
        <v>85</v>
      </c>
      <c r="AV8" s="76"/>
      <c r="AW8" s="83" t="s">
        <v>86</v>
      </c>
      <c r="AX8" s="76"/>
      <c r="AY8" s="84" t="s">
        <v>87</v>
      </c>
    </row>
    <row r="9" spans="1:86" ht="14.25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tr">
        <f>+'Lead Sheet '!AI7</f>
        <v>Republican</v>
      </c>
      <c r="AJ9" s="290"/>
      <c r="AK9" s="107" t="str">
        <f>+'Lead Sheet '!AK7</f>
        <v>Democratic</v>
      </c>
      <c r="AL9" s="290"/>
      <c r="AM9" s="296"/>
      <c r="AN9" s="295"/>
      <c r="AO9" s="297"/>
      <c r="AP9" s="290"/>
      <c r="AQ9" s="78" t="s">
        <v>89</v>
      </c>
      <c r="AR9" s="76"/>
      <c r="AS9" s="83" t="s">
        <v>90</v>
      </c>
      <c r="AT9" s="76"/>
      <c r="AU9" s="83" t="s">
        <v>89</v>
      </c>
      <c r="AV9" s="76"/>
      <c r="AW9" s="83" t="s">
        <v>89</v>
      </c>
      <c r="AX9" s="76"/>
      <c r="AY9" s="84" t="s">
        <v>89</v>
      </c>
    </row>
    <row r="10" spans="1:86" ht="15" thickBot="1" x14ac:dyDescent="0.25"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90"/>
      <c r="AM10" s="146"/>
      <c r="AN10" s="144"/>
      <c r="AO10" s="145"/>
      <c r="AP10" s="290"/>
      <c r="AQ10" s="80"/>
      <c r="AR10" s="85"/>
      <c r="AS10" s="85"/>
      <c r="AT10" s="85"/>
      <c r="AU10" s="85"/>
      <c r="AV10" s="85"/>
      <c r="AW10" s="85"/>
      <c r="AX10" s="85"/>
      <c r="AY10" s="86"/>
    </row>
    <row r="11" spans="1:86" x14ac:dyDescent="0.2">
      <c r="A11" s="9" t="s">
        <v>53</v>
      </c>
      <c r="C11" s="18">
        <f>176+206</f>
        <v>382</v>
      </c>
      <c r="D11" s="19"/>
      <c r="E11" s="18">
        <f>161+149</f>
        <v>310</v>
      </c>
      <c r="F11" s="19"/>
      <c r="G11" s="62">
        <f>5+2</f>
        <v>7</v>
      </c>
      <c r="H11" s="19"/>
      <c r="I11" s="18">
        <v>2</v>
      </c>
      <c r="J11" s="19"/>
      <c r="K11" s="18">
        <f>1+2</f>
        <v>3</v>
      </c>
      <c r="L11" s="19"/>
      <c r="M11" s="18">
        <v>2</v>
      </c>
      <c r="N11" s="19"/>
      <c r="O11" s="18">
        <v>1</v>
      </c>
      <c r="P11" s="19"/>
      <c r="Q11" s="18">
        <v>0</v>
      </c>
      <c r="R11" s="19"/>
      <c r="S11" s="18">
        <f>132+177</f>
        <v>309</v>
      </c>
      <c r="T11" s="19"/>
      <c r="U11" s="18">
        <f>210+180</f>
        <v>390</v>
      </c>
      <c r="V11" s="19"/>
      <c r="W11" s="18">
        <f>2+1</f>
        <v>3</v>
      </c>
      <c r="X11" s="19"/>
      <c r="Y11" s="18">
        <v>2</v>
      </c>
      <c r="Z11" s="19"/>
      <c r="AA11" s="18">
        <f>1+1</f>
        <v>2</v>
      </c>
      <c r="AB11" s="19"/>
      <c r="AC11" s="18">
        <v>1</v>
      </c>
      <c r="AD11" s="19"/>
      <c r="AE11" s="18">
        <f>192+221</f>
        <v>413</v>
      </c>
      <c r="AF11" s="19"/>
      <c r="AG11" s="18">
        <f>147+131</f>
        <v>278</v>
      </c>
      <c r="AH11" s="19"/>
      <c r="AI11" s="18">
        <f>171+205</f>
        <v>376</v>
      </c>
      <c r="AJ11" s="19"/>
      <c r="AK11" s="18">
        <f>166+147</f>
        <v>313</v>
      </c>
      <c r="AL11" s="19"/>
      <c r="AM11" s="18">
        <f>164+156</f>
        <v>320</v>
      </c>
      <c r="AN11" s="19"/>
      <c r="AO11" s="18">
        <f>134+169</f>
        <v>303</v>
      </c>
      <c r="AP11" s="19"/>
      <c r="AQ11" s="18">
        <f>353+366</f>
        <v>719</v>
      </c>
      <c r="AS11" s="18">
        <v>444</v>
      </c>
      <c r="AU11" s="18">
        <v>64</v>
      </c>
      <c r="AW11" s="18"/>
      <c r="AY11" s="18">
        <f>+SUM(AQ11:AW11)</f>
        <v>1227</v>
      </c>
      <c r="CG11" s="11"/>
      <c r="CH11" s="11"/>
    </row>
    <row r="12" spans="1:86" x14ac:dyDescent="0.2">
      <c r="A12" s="9" t="s">
        <v>54</v>
      </c>
      <c r="C12" s="16">
        <f>213+208</f>
        <v>421</v>
      </c>
      <c r="D12" s="19"/>
      <c r="E12" s="16">
        <f>142+151</f>
        <v>293</v>
      </c>
      <c r="F12" s="19"/>
      <c r="G12" s="16">
        <f>4+2</f>
        <v>6</v>
      </c>
      <c r="H12" s="19"/>
      <c r="I12" s="16">
        <v>1</v>
      </c>
      <c r="J12" s="19"/>
      <c r="K12" s="16">
        <v>2</v>
      </c>
      <c r="L12" s="19"/>
      <c r="M12" s="16">
        <f>4+2</f>
        <v>6</v>
      </c>
      <c r="N12" s="19"/>
      <c r="O12" s="16">
        <v>0</v>
      </c>
      <c r="P12" s="19"/>
      <c r="Q12" s="16">
        <v>0</v>
      </c>
      <c r="R12" s="19"/>
      <c r="S12" s="16">
        <f>179+184</f>
        <v>363</v>
      </c>
      <c r="T12" s="19"/>
      <c r="U12" s="16">
        <f>183+180</f>
        <v>363</v>
      </c>
      <c r="V12" s="19"/>
      <c r="W12" s="16">
        <f>2+2</f>
        <v>4</v>
      </c>
      <c r="X12" s="19"/>
      <c r="Y12" s="16">
        <v>1</v>
      </c>
      <c r="Z12" s="19"/>
      <c r="AA12" s="16">
        <f>2+2</f>
        <v>4</v>
      </c>
      <c r="AB12" s="19"/>
      <c r="AC12" s="16">
        <v>1</v>
      </c>
      <c r="AD12" s="19"/>
      <c r="AE12" s="16">
        <f>237+225</f>
        <v>462</v>
      </c>
      <c r="AF12" s="19"/>
      <c r="AG12" s="16">
        <f>121+137</f>
        <v>258</v>
      </c>
      <c r="AH12" s="19"/>
      <c r="AI12" s="16">
        <f>218+212</f>
        <v>430</v>
      </c>
      <c r="AJ12" s="19"/>
      <c r="AK12" s="16">
        <f>139+141</f>
        <v>280</v>
      </c>
      <c r="AL12" s="19"/>
      <c r="AM12" s="16">
        <f>135+148</f>
        <v>283</v>
      </c>
      <c r="AN12" s="19"/>
      <c r="AO12" s="16">
        <f>176+160</f>
        <v>336</v>
      </c>
      <c r="AP12" s="19"/>
      <c r="AQ12" s="16">
        <f>370+370</f>
        <v>740</v>
      </c>
      <c r="AS12" s="16"/>
      <c r="AU12" s="16"/>
      <c r="AW12" s="16"/>
      <c r="AY12" s="18">
        <f>+SUM(AQ12:AW12)</f>
        <v>740</v>
      </c>
      <c r="CG12" s="11"/>
      <c r="CH12" s="11"/>
    </row>
    <row r="13" spans="1:86" x14ac:dyDescent="0.2">
      <c r="A13" s="9" t="s">
        <v>55</v>
      </c>
      <c r="C13" s="16">
        <f>156+166</f>
        <v>322</v>
      </c>
      <c r="D13" s="19"/>
      <c r="E13" s="16">
        <f>105+151</f>
        <v>256</v>
      </c>
      <c r="F13" s="19"/>
      <c r="G13" s="16">
        <v>3</v>
      </c>
      <c r="H13" s="19"/>
      <c r="I13" s="16">
        <f>1+1</f>
        <v>2</v>
      </c>
      <c r="J13" s="19"/>
      <c r="K13" s="16">
        <f>3+1</f>
        <v>4</v>
      </c>
      <c r="L13" s="19"/>
      <c r="M13" s="16">
        <v>2</v>
      </c>
      <c r="N13" s="19"/>
      <c r="O13" s="16">
        <v>0</v>
      </c>
      <c r="P13" s="19"/>
      <c r="Q13" s="16">
        <v>0</v>
      </c>
      <c r="R13" s="19"/>
      <c r="S13" s="16">
        <f>130+137</f>
        <v>267</v>
      </c>
      <c r="T13" s="19"/>
      <c r="U13" s="16">
        <f>137+179</f>
        <v>316</v>
      </c>
      <c r="V13" s="19"/>
      <c r="W13" s="16">
        <f>1+3</f>
        <v>4</v>
      </c>
      <c r="X13" s="19"/>
      <c r="Y13" s="16">
        <v>1</v>
      </c>
      <c r="Z13" s="19"/>
      <c r="AA13" s="16">
        <v>1</v>
      </c>
      <c r="AB13" s="19"/>
      <c r="AC13" s="16">
        <v>0</v>
      </c>
      <c r="AD13" s="19"/>
      <c r="AE13" s="16">
        <f>166+195</f>
        <v>361</v>
      </c>
      <c r="AF13" s="19"/>
      <c r="AG13" s="16">
        <f>99+126</f>
        <v>225</v>
      </c>
      <c r="AH13" s="19"/>
      <c r="AI13" s="16">
        <f>153+182</f>
        <v>335</v>
      </c>
      <c r="AJ13" s="19"/>
      <c r="AK13" s="16">
        <f>109+131</f>
        <v>240</v>
      </c>
      <c r="AL13" s="19"/>
      <c r="AM13" s="16">
        <f>118+152</f>
        <v>270</v>
      </c>
      <c r="AN13" s="19"/>
      <c r="AO13" s="16">
        <f>125+131</f>
        <v>256</v>
      </c>
      <c r="AP13" s="19"/>
      <c r="AQ13" s="16">
        <f>277+330</f>
        <v>607</v>
      </c>
      <c r="AS13" s="16"/>
      <c r="AU13" s="16"/>
      <c r="AW13" s="16"/>
      <c r="AY13" s="18">
        <f>+SUM(AQ13:AW13)</f>
        <v>607</v>
      </c>
      <c r="CG13" s="11"/>
      <c r="CH13" s="11"/>
    </row>
    <row r="14" spans="1:86" x14ac:dyDescent="0.2">
      <c r="A14" s="9" t="s">
        <v>56</v>
      </c>
      <c r="C14" s="16">
        <f>104+114</f>
        <v>218</v>
      </c>
      <c r="D14" s="19"/>
      <c r="E14" s="16">
        <f>68+61</f>
        <v>129</v>
      </c>
      <c r="F14" s="19"/>
      <c r="G14" s="16">
        <f>1+2</f>
        <v>3</v>
      </c>
      <c r="H14" s="19"/>
      <c r="I14" s="16">
        <v>1</v>
      </c>
      <c r="J14" s="19"/>
      <c r="K14" s="16">
        <v>1</v>
      </c>
      <c r="L14" s="19"/>
      <c r="M14" s="16">
        <v>2</v>
      </c>
      <c r="N14" s="19"/>
      <c r="O14" s="16">
        <v>0</v>
      </c>
      <c r="P14" s="19"/>
      <c r="Q14" s="16">
        <v>0</v>
      </c>
      <c r="R14" s="19"/>
      <c r="S14" s="16">
        <f>95+101</f>
        <v>196</v>
      </c>
      <c r="T14" s="19"/>
      <c r="U14" s="16">
        <f>76+77</f>
        <v>153</v>
      </c>
      <c r="V14" s="19"/>
      <c r="W14" s="16">
        <v>0</v>
      </c>
      <c r="X14" s="19"/>
      <c r="Y14" s="16">
        <v>1</v>
      </c>
      <c r="Z14" s="19"/>
      <c r="AA14" s="16">
        <v>2</v>
      </c>
      <c r="AB14" s="19"/>
      <c r="AC14" s="16">
        <v>0</v>
      </c>
      <c r="AD14" s="19"/>
      <c r="AE14" s="16">
        <f>111+120</f>
        <v>231</v>
      </c>
      <c r="AF14" s="19"/>
      <c r="AG14" s="16">
        <f>60+59</f>
        <v>119</v>
      </c>
      <c r="AH14" s="19"/>
      <c r="AI14" s="16">
        <f>109+110</f>
        <v>219</v>
      </c>
      <c r="AJ14" s="19"/>
      <c r="AK14" s="16">
        <f>61+68</f>
        <v>129</v>
      </c>
      <c r="AL14" s="19"/>
      <c r="AM14" s="16">
        <f>74+67</f>
        <v>141</v>
      </c>
      <c r="AN14" s="19"/>
      <c r="AO14" s="16">
        <f>77+92</f>
        <v>169</v>
      </c>
      <c r="AP14" s="19"/>
      <c r="AQ14" s="16">
        <f>177+186</f>
        <v>363</v>
      </c>
      <c r="AS14" s="16"/>
      <c r="AU14" s="16"/>
      <c r="AW14" s="16"/>
      <c r="AY14" s="18">
        <f>+SUM(AQ14:AW14)</f>
        <v>363</v>
      </c>
      <c r="CG14" s="11"/>
      <c r="CH14" s="11"/>
    </row>
    <row r="15" spans="1:86" ht="13.5" thickBot="1" x14ac:dyDescent="0.25"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CG15" s="11"/>
      <c r="CH15" s="11"/>
    </row>
    <row r="16" spans="1:86" s="48" customFormat="1" ht="13.5" thickBot="1" x14ac:dyDescent="0.25">
      <c r="A16" s="3" t="s">
        <v>24</v>
      </c>
      <c r="C16" s="41">
        <f>+SUM(C11:C14)</f>
        <v>1343</v>
      </c>
      <c r="D16" s="57"/>
      <c r="E16" s="41">
        <f>+SUM(E11:E14)</f>
        <v>988</v>
      </c>
      <c r="F16" s="57"/>
      <c r="G16" s="41">
        <f>+SUM(G11:G14)</f>
        <v>19</v>
      </c>
      <c r="H16" s="57"/>
      <c r="I16" s="41">
        <f>+SUM(I11:I14)</f>
        <v>6</v>
      </c>
      <c r="J16" s="57"/>
      <c r="K16" s="41">
        <f>+SUM(K11:K14)</f>
        <v>10</v>
      </c>
      <c r="L16" s="57"/>
      <c r="M16" s="41">
        <f>+SUM(M11:M14)</f>
        <v>12</v>
      </c>
      <c r="N16" s="57"/>
      <c r="O16" s="41">
        <f>+SUM(O11:O14)</f>
        <v>1</v>
      </c>
      <c r="P16" s="57"/>
      <c r="Q16" s="41">
        <f>+SUM(Q11:Q14)</f>
        <v>0</v>
      </c>
      <c r="R16" s="57"/>
      <c r="S16" s="41">
        <f>+SUM(S11:S14)</f>
        <v>1135</v>
      </c>
      <c r="T16" s="57"/>
      <c r="U16" s="41">
        <f>+SUM(U11:U14)</f>
        <v>1222</v>
      </c>
      <c r="V16" s="57"/>
      <c r="W16" s="41">
        <f>+SUM(W11:W14)</f>
        <v>11</v>
      </c>
      <c r="X16" s="57"/>
      <c r="Y16" s="41">
        <f>+SUM(Y11:Y14)</f>
        <v>5</v>
      </c>
      <c r="Z16" s="57"/>
      <c r="AA16" s="41">
        <f>+SUM(AA11:AA14)</f>
        <v>9</v>
      </c>
      <c r="AB16" s="57"/>
      <c r="AC16" s="41">
        <f>+SUM(AC11:AC14)</f>
        <v>2</v>
      </c>
      <c r="AD16" s="57"/>
      <c r="AE16" s="41">
        <f>+SUM(AE11:AE14)</f>
        <v>1467</v>
      </c>
      <c r="AF16" s="57"/>
      <c r="AG16" s="41">
        <f>+SUM(AG11:AG14)</f>
        <v>880</v>
      </c>
      <c r="AH16" s="57"/>
      <c r="AI16" s="41">
        <f>+SUM(AI11:AI14)</f>
        <v>1360</v>
      </c>
      <c r="AJ16" s="57"/>
      <c r="AK16" s="41">
        <f>+SUM(AK11:AK14)</f>
        <v>962</v>
      </c>
      <c r="AL16" s="57"/>
      <c r="AM16" s="41">
        <f>+SUM(AM11:AM14)</f>
        <v>1014</v>
      </c>
      <c r="AN16" s="57"/>
      <c r="AO16" s="41">
        <f>+SUM(AO11:AO14)</f>
        <v>1064</v>
      </c>
      <c r="AP16" s="57"/>
      <c r="AQ16" s="41">
        <f>+SUM(AQ11:AQ14)</f>
        <v>2429</v>
      </c>
      <c r="AR16" s="42"/>
      <c r="AS16" s="41">
        <f>+SUM(AS11:AS14)</f>
        <v>444</v>
      </c>
      <c r="AT16" s="42"/>
      <c r="AU16" s="41">
        <f>+SUM(AU11:AU14)</f>
        <v>64</v>
      </c>
      <c r="AV16" s="42"/>
      <c r="AW16" s="41">
        <f>+SUM(AW11:AW14)</f>
        <v>0</v>
      </c>
      <c r="AX16" s="42"/>
      <c r="AY16" s="41">
        <f>+SUM(AY11:AY14)</f>
        <v>2937</v>
      </c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</row>
    <row r="17" spans="1:86" x14ac:dyDescent="0.2">
      <c r="A17" s="36" t="s">
        <v>73</v>
      </c>
      <c r="C17" s="19">
        <v>198</v>
      </c>
      <c r="D17" s="19"/>
      <c r="E17" s="19">
        <v>235</v>
      </c>
      <c r="F17" s="19"/>
      <c r="G17" s="19">
        <v>2</v>
      </c>
      <c r="H17" s="19"/>
      <c r="I17" s="19">
        <v>0</v>
      </c>
      <c r="J17" s="19"/>
      <c r="K17" s="19">
        <v>3</v>
      </c>
      <c r="L17" s="19"/>
      <c r="M17" s="19">
        <v>1</v>
      </c>
      <c r="N17" s="19"/>
      <c r="O17" s="19">
        <v>0</v>
      </c>
      <c r="P17" s="19"/>
      <c r="Q17" s="19">
        <v>0</v>
      </c>
      <c r="R17" s="19"/>
      <c r="S17" s="19">
        <v>166</v>
      </c>
      <c r="T17" s="19"/>
      <c r="U17" s="19">
        <v>267</v>
      </c>
      <c r="V17" s="19"/>
      <c r="W17" s="19">
        <v>5</v>
      </c>
      <c r="X17" s="19"/>
      <c r="Y17" s="19">
        <v>0</v>
      </c>
      <c r="Z17" s="19"/>
      <c r="AA17" s="19">
        <v>1</v>
      </c>
      <c r="AB17" s="19"/>
      <c r="AC17" s="19">
        <v>0</v>
      </c>
      <c r="AD17" s="19"/>
      <c r="AE17" s="19">
        <v>212</v>
      </c>
      <c r="AF17" s="19"/>
      <c r="AG17" s="19">
        <v>222</v>
      </c>
      <c r="AH17" s="19"/>
      <c r="AI17" s="19">
        <v>195</v>
      </c>
      <c r="AJ17" s="19"/>
      <c r="AK17" s="19">
        <v>235</v>
      </c>
      <c r="AL17" s="19"/>
      <c r="AM17" s="19">
        <v>271</v>
      </c>
      <c r="AN17" s="19"/>
      <c r="AO17" s="19">
        <v>136</v>
      </c>
      <c r="AP17" s="19"/>
      <c r="CG17" s="11"/>
      <c r="CH17" s="11"/>
    </row>
    <row r="18" spans="1:86" x14ac:dyDescent="0.2">
      <c r="A18" s="4" t="s">
        <v>25</v>
      </c>
      <c r="C18" s="19">
        <v>33</v>
      </c>
      <c r="D18" s="19"/>
      <c r="E18" s="19">
        <v>26</v>
      </c>
      <c r="F18" s="19"/>
      <c r="G18" s="19">
        <v>0</v>
      </c>
      <c r="H18" s="19"/>
      <c r="I18" s="19">
        <v>0</v>
      </c>
      <c r="J18" s="19"/>
      <c r="K18" s="19">
        <v>1</v>
      </c>
      <c r="L18" s="19"/>
      <c r="M18" s="19">
        <v>0</v>
      </c>
      <c r="N18" s="19"/>
      <c r="O18" s="19">
        <v>0</v>
      </c>
      <c r="P18" s="19"/>
      <c r="Q18" s="19">
        <v>0</v>
      </c>
      <c r="R18" s="19"/>
      <c r="S18" s="19">
        <v>30</v>
      </c>
      <c r="T18" s="19"/>
      <c r="U18" s="19">
        <v>32</v>
      </c>
      <c r="V18" s="19"/>
      <c r="W18" s="19">
        <v>1</v>
      </c>
      <c r="X18" s="19"/>
      <c r="Y18" s="19">
        <v>0</v>
      </c>
      <c r="Z18" s="19"/>
      <c r="AA18" s="19">
        <v>0</v>
      </c>
      <c r="AB18" s="19"/>
      <c r="AC18" s="19">
        <v>0</v>
      </c>
      <c r="AD18" s="19"/>
      <c r="AE18" s="19">
        <v>41</v>
      </c>
      <c r="AF18" s="19"/>
      <c r="AG18" s="19">
        <v>23</v>
      </c>
      <c r="AH18" s="19"/>
      <c r="AI18" s="19">
        <v>37</v>
      </c>
      <c r="AJ18" s="19"/>
      <c r="AK18" s="19">
        <v>26</v>
      </c>
      <c r="AL18" s="19"/>
      <c r="AM18" s="19">
        <v>27</v>
      </c>
      <c r="AN18" s="19"/>
      <c r="AO18" s="19">
        <v>26</v>
      </c>
      <c r="AP18" s="19"/>
      <c r="CG18" s="11"/>
      <c r="CH18" s="11"/>
    </row>
    <row r="19" spans="1:86" ht="13.5" thickBot="1" x14ac:dyDescent="0.25">
      <c r="A19" s="4" t="s">
        <v>79</v>
      </c>
      <c r="C19" s="19">
        <v>2</v>
      </c>
      <c r="D19" s="19"/>
      <c r="E19" s="19">
        <v>0</v>
      </c>
      <c r="F19" s="19"/>
      <c r="G19" s="19">
        <v>0</v>
      </c>
      <c r="H19" s="19"/>
      <c r="I19" s="19">
        <v>0</v>
      </c>
      <c r="J19" s="19"/>
      <c r="K19" s="19">
        <v>0</v>
      </c>
      <c r="L19" s="19"/>
      <c r="M19" s="19">
        <v>0</v>
      </c>
      <c r="N19" s="19"/>
      <c r="O19" s="19">
        <v>0</v>
      </c>
      <c r="P19" s="19"/>
      <c r="Q19" s="19">
        <v>0</v>
      </c>
      <c r="R19" s="19"/>
      <c r="S19" s="19">
        <v>2</v>
      </c>
      <c r="T19" s="19"/>
      <c r="U19" s="19">
        <v>0</v>
      </c>
      <c r="V19" s="19"/>
      <c r="W19" s="19">
        <v>0</v>
      </c>
      <c r="X19" s="19"/>
      <c r="Y19" s="19">
        <v>0</v>
      </c>
      <c r="Z19" s="19"/>
      <c r="AA19" s="19">
        <v>0</v>
      </c>
      <c r="AB19" s="19"/>
      <c r="AC19" s="19">
        <v>0</v>
      </c>
      <c r="AD19" s="19"/>
      <c r="AE19" s="19">
        <v>2</v>
      </c>
      <c r="AF19" s="19"/>
      <c r="AG19" s="19">
        <v>0</v>
      </c>
      <c r="AH19" s="19"/>
      <c r="AI19" s="19">
        <v>1</v>
      </c>
      <c r="AJ19" s="19"/>
      <c r="AK19" s="19">
        <v>0</v>
      </c>
      <c r="AL19" s="19"/>
      <c r="AM19" s="19">
        <v>1</v>
      </c>
      <c r="AN19" s="19"/>
      <c r="AO19" s="19">
        <v>0</v>
      </c>
      <c r="AP19" s="19"/>
      <c r="CG19" s="11"/>
      <c r="CH19" s="11"/>
    </row>
    <row r="20" spans="1:86" s="48" customFormat="1" ht="13.5" thickBot="1" x14ac:dyDescent="0.25">
      <c r="A20" s="3" t="s">
        <v>26</v>
      </c>
      <c r="C20" s="41">
        <f>+SUM(C16:C19)</f>
        <v>1576</v>
      </c>
      <c r="D20" s="57"/>
      <c r="E20" s="41">
        <f>+SUM(E16:E19)</f>
        <v>1249</v>
      </c>
      <c r="F20" s="57"/>
      <c r="G20" s="41">
        <f>+SUM(G16:G19)</f>
        <v>21</v>
      </c>
      <c r="H20" s="57"/>
      <c r="I20" s="41">
        <f>+SUM(I16:I19)</f>
        <v>6</v>
      </c>
      <c r="J20" s="57"/>
      <c r="K20" s="41">
        <f>+SUM(K16:K19)</f>
        <v>14</v>
      </c>
      <c r="L20" s="57"/>
      <c r="M20" s="41">
        <f>+SUM(M16:M19)</f>
        <v>13</v>
      </c>
      <c r="N20" s="57"/>
      <c r="O20" s="41">
        <f>+SUM(O16:O19)</f>
        <v>1</v>
      </c>
      <c r="P20" s="57"/>
      <c r="Q20" s="41">
        <f>+SUM(Q16:Q19)</f>
        <v>0</v>
      </c>
      <c r="R20" s="57"/>
      <c r="S20" s="41">
        <f>+SUM(S16:S19)</f>
        <v>1333</v>
      </c>
      <c r="T20" s="57"/>
      <c r="U20" s="41">
        <f>+SUM(U16:U19)</f>
        <v>1521</v>
      </c>
      <c r="V20" s="57"/>
      <c r="W20" s="41">
        <f>+SUM(W16:W19)</f>
        <v>17</v>
      </c>
      <c r="X20" s="57"/>
      <c r="Y20" s="41">
        <f>+SUM(Y16:Y19)</f>
        <v>5</v>
      </c>
      <c r="Z20" s="57"/>
      <c r="AA20" s="41">
        <f>+SUM(AA16:AA19)</f>
        <v>10</v>
      </c>
      <c r="AB20" s="57"/>
      <c r="AC20" s="41">
        <f>+SUM(AC16:AC19)</f>
        <v>2</v>
      </c>
      <c r="AD20" s="57"/>
      <c r="AE20" s="41">
        <f>+SUM(AE16:AE19)</f>
        <v>1722</v>
      </c>
      <c r="AF20" s="57"/>
      <c r="AG20" s="41">
        <f>+SUM(AG16:AG19)</f>
        <v>1125</v>
      </c>
      <c r="AH20" s="57"/>
      <c r="AI20" s="41">
        <f>+SUM(AI16:AI19)</f>
        <v>1593</v>
      </c>
      <c r="AJ20" s="57"/>
      <c r="AK20" s="41">
        <f>+SUM(AK16:AK19)</f>
        <v>1223</v>
      </c>
      <c r="AL20" s="57"/>
      <c r="AM20" s="41">
        <f>+SUM(AM16:AM19)</f>
        <v>1313</v>
      </c>
      <c r="AN20" s="57"/>
      <c r="AO20" s="41">
        <f>+SUM(AO16:AO19)</f>
        <v>1226</v>
      </c>
      <c r="AP20" s="57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</row>
    <row r="21" spans="1:86" x14ac:dyDescent="0.2">
      <c r="A21" s="3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</row>
    <row r="22" spans="1:86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</row>
    <row r="23" spans="1:86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</row>
    <row r="24" spans="1:86" s="250" customFormat="1" x14ac:dyDescent="0.2">
      <c r="A24" s="65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</row>
    <row r="25" spans="1:86" s="250" customFormat="1" x14ac:dyDescent="0.2">
      <c r="A25" s="248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</row>
    <row r="26" spans="1:86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</row>
    <row r="27" spans="1:86" s="250" customFormat="1" x14ac:dyDescent="0.2">
      <c r="A27" s="249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</row>
    <row r="28" spans="1:86" s="247" customFormat="1" x14ac:dyDescent="0.2">
      <c r="A28" s="26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</row>
    <row r="29" spans="1:86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</row>
    <row r="30" spans="1:86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</row>
    <row r="31" spans="1:86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</row>
    <row r="32" spans="1:86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</row>
    <row r="33" spans="1:4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</row>
    <row r="34" spans="1:4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</row>
    <row r="35" spans="1:42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</row>
    <row r="36" spans="1:42" x14ac:dyDescent="0.2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</row>
    <row r="38" spans="1:42" x14ac:dyDescent="0.2">
      <c r="A38" s="3"/>
    </row>
    <row r="39" spans="1:42" x14ac:dyDescent="0.2">
      <c r="A39" s="4"/>
    </row>
    <row r="40" spans="1:42" x14ac:dyDescent="0.2">
      <c r="A40" s="4"/>
    </row>
    <row r="41" spans="1:42" x14ac:dyDescent="0.2">
      <c r="A41" s="4"/>
    </row>
    <row r="42" spans="1:42" x14ac:dyDescent="0.2">
      <c r="A42" s="3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C15" sqref="C15:Y17"/>
      <colBreaks count="2" manualBreakCount="2">
        <brk id="25" max="1048575" man="1"/>
        <brk id="53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&amp;C&amp;"Arial,Bold"&amp;11City of Margate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B6" activePane="bottomRight" state="frozen"/>
      <selection pane="bottomRight" activeCell="AA14" sqref="AA14"/>
      <colBreaks count="2" manualBreakCount="2">
        <brk id="25" max="1048575" man="1"/>
        <brk id="53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&amp;C&amp;"Arial,Bold"&amp;11City of Margate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B6" activePane="bottomRight" state="frozen"/>
      <selection pane="bottomRight" activeCell="AA14" sqref="AA14"/>
      <colBreaks count="2" manualBreakCount="2">
        <brk id="25" max="1048575" man="1"/>
        <brk id="53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&amp;C&amp;"Arial,Bold"&amp;11City of Margate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B6" activePane="bottomRight" state="frozen"/>
      <selection pane="bottomRight" activeCell="AA14" sqref="AA14"/>
      <colBreaks count="2" manualBreakCount="2">
        <brk id="25" max="1048575" man="1"/>
        <brk id="53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&amp;C&amp;"Arial,Bold"&amp;11City of Margate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B6" activePane="bottomRight" state="frozen"/>
      <selection pane="bottomRight" activeCell="AA14" sqref="AA14"/>
      <colBreaks count="2" manualBreakCount="2">
        <brk id="25" max="1048575" man="1"/>
        <brk id="53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&amp;C&amp;"Arial,Bold"&amp;11City of Margate
General Election - November 3, 2015
Prepared by the Office of Edward P. McGettigan, Atlantic County Clerk</oddHeader>
        <oddFooter>&amp;R&amp;11Page &amp;P</oddFooter>
      </headerFooter>
    </customSheetView>
  </customSheetViews>
  <mergeCells count="5">
    <mergeCell ref="C5:Q5"/>
    <mergeCell ref="S5:AC5"/>
    <mergeCell ref="AE5:AG5"/>
    <mergeCell ref="AI5:AK5"/>
    <mergeCell ref="AM5:AO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&amp;C&amp;"Arial,Bold"&amp;11City of Margate
General Election - November 6, 2018
Prepared by the Office of Edward P. McGettigan, Atlantic County Clerk</oddHeader>
    <oddFooter>&amp;R&amp;11Page &amp;P</oddFooter>
  </headerFooter>
  <colBreaks count="2" manualBreakCount="2">
    <brk id="29" max="21" man="1"/>
    <brk id="69" max="1048575" man="1"/>
  </colBreaks>
  <drawing r:id="rId7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DF30"/>
  <sheetViews>
    <sheetView zoomScale="75" zoomScaleNormal="75" zoomScaleSheetLayoutView="75" workbookViewId="0">
      <pane xSplit="1" ySplit="10" topLeftCell="B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61" customWidth="1"/>
    <col min="2" max="2" width="1.7109375" style="37" customWidth="1"/>
    <col min="3" max="3" width="12.140625" style="63" customWidth="1"/>
    <col min="4" max="4" width="1.7109375" style="63" customWidth="1"/>
    <col min="5" max="5" width="11.5703125" style="63" customWidth="1"/>
    <col min="6" max="6" width="1.7109375" style="63" customWidth="1"/>
    <col min="7" max="7" width="15.85546875" style="63" customWidth="1"/>
    <col min="8" max="8" width="1.7109375" style="63" customWidth="1"/>
    <col min="9" max="9" width="12.140625" style="63" customWidth="1"/>
    <col min="10" max="10" width="1.7109375" style="63" customWidth="1"/>
    <col min="11" max="11" width="15.85546875" style="63" customWidth="1"/>
    <col min="12" max="12" width="1.7109375" style="63" customWidth="1"/>
    <col min="13" max="13" width="12.140625" style="63" customWidth="1"/>
    <col min="14" max="14" width="1.7109375" style="63" customWidth="1"/>
    <col min="15" max="15" width="12.140625" style="63" customWidth="1"/>
    <col min="16" max="16" width="1.7109375" style="63" customWidth="1"/>
    <col min="17" max="17" width="13.7109375" style="63" customWidth="1"/>
    <col min="18" max="18" width="1.7109375" style="63" customWidth="1"/>
    <col min="19" max="19" width="13" style="63" customWidth="1"/>
    <col min="20" max="20" width="1.7109375" style="63" customWidth="1"/>
    <col min="21" max="21" width="11" style="63" customWidth="1"/>
    <col min="22" max="22" width="1.7109375" style="63" customWidth="1"/>
    <col min="23" max="23" width="12.140625" style="63" customWidth="1"/>
    <col min="24" max="24" width="1.7109375" style="63" customWidth="1"/>
    <col min="25" max="25" width="12.140625" style="63" customWidth="1"/>
    <col min="26" max="26" width="1.7109375" style="63" customWidth="1"/>
    <col min="27" max="27" width="12.140625" style="63" customWidth="1"/>
    <col min="28" max="28" width="1.7109375" style="63" customWidth="1"/>
    <col min="29" max="29" width="11.85546875" style="63" customWidth="1"/>
    <col min="30" max="30" width="1.7109375" style="63" customWidth="1"/>
    <col min="31" max="31" width="12.140625" style="63" customWidth="1"/>
    <col min="32" max="32" width="1.7109375" style="63" customWidth="1"/>
    <col min="33" max="33" width="13.7109375" style="63" bestFit="1" customWidth="1"/>
    <col min="34" max="34" width="1.7109375" style="63" customWidth="1"/>
    <col min="35" max="35" width="11.85546875" style="63" customWidth="1"/>
    <col min="36" max="36" width="1.7109375" style="63" customWidth="1"/>
    <col min="37" max="37" width="12.7109375" style="63" bestFit="1" customWidth="1"/>
    <col min="38" max="38" width="1.7109375" style="63" customWidth="1"/>
    <col min="39" max="39" width="13.28515625" style="63" bestFit="1" customWidth="1"/>
    <col min="40" max="40" width="1.7109375" style="63" customWidth="1"/>
    <col min="41" max="41" width="14.42578125" style="63" bestFit="1" customWidth="1"/>
    <col min="42" max="42" width="1.7109375" style="63" customWidth="1"/>
    <col min="43" max="43" width="11.85546875" style="63" customWidth="1"/>
    <col min="44" max="44" width="1.7109375" style="63" customWidth="1"/>
    <col min="45" max="45" width="11.42578125" style="63" bestFit="1" customWidth="1"/>
    <col min="46" max="46" width="1.7109375" style="63" customWidth="1"/>
    <col min="47" max="47" width="11.85546875" style="63" customWidth="1"/>
    <col min="48" max="48" width="1.7109375" style="63" customWidth="1"/>
    <col min="49" max="49" width="12.140625" style="63" customWidth="1"/>
    <col min="50" max="50" width="1.7109375" style="63" customWidth="1"/>
    <col min="51" max="51" width="12" style="63" bestFit="1" customWidth="1"/>
    <col min="52" max="52" width="1.7109375" style="63" customWidth="1"/>
    <col min="53" max="53" width="13.140625" style="63" bestFit="1" customWidth="1"/>
    <col min="54" max="54" width="1.7109375" style="63" customWidth="1"/>
    <col min="55" max="55" width="9.7109375" style="63" customWidth="1"/>
    <col min="56" max="56" width="1.7109375" style="63" customWidth="1"/>
    <col min="57" max="57" width="9.7109375" style="63" customWidth="1"/>
    <col min="58" max="58" width="1.7109375" style="63" customWidth="1"/>
    <col min="59" max="59" width="11.85546875" style="110" customWidth="1"/>
    <col min="60" max="60" width="1.7109375" style="110" customWidth="1"/>
    <col min="61" max="61" width="11.85546875" style="110" customWidth="1"/>
    <col min="62" max="62" width="1.7109375" style="110" customWidth="1"/>
    <col min="63" max="63" width="11.85546875" style="110" customWidth="1"/>
    <col min="64" max="64" width="1.7109375" style="110" customWidth="1"/>
    <col min="65" max="65" width="11.85546875" style="110" customWidth="1"/>
    <col min="66" max="66" width="1.7109375" style="35" customWidth="1"/>
    <col min="67" max="67" width="9.140625" style="35"/>
    <col min="68" max="68" width="1.7109375" style="35" customWidth="1"/>
    <col min="69" max="69" width="9.140625" style="35"/>
    <col min="70" max="70" width="1.7109375" style="35" customWidth="1"/>
    <col min="71" max="71" width="9.140625" style="35"/>
    <col min="72" max="72" width="1.7109375" style="35" customWidth="1"/>
    <col min="73" max="73" width="9.140625" style="35"/>
    <col min="74" max="74" width="1.7109375" style="35" customWidth="1"/>
    <col min="75" max="75" width="9.140625" style="35"/>
    <col min="76" max="76" width="1.7109375" style="35" customWidth="1"/>
    <col min="77" max="77" width="9.140625" style="35"/>
    <col min="78" max="78" width="1.7109375" style="35" customWidth="1"/>
    <col min="79" max="79" width="9.140625" style="35"/>
    <col min="80" max="80" width="1.7109375" style="35" customWidth="1"/>
    <col min="81" max="110" width="9.140625" style="35"/>
    <col min="111" max="16384" width="9.140625" style="37"/>
  </cols>
  <sheetData>
    <row r="1" spans="1:110" s="191" customFormat="1" x14ac:dyDescent="0.2">
      <c r="A1" s="89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288"/>
      <c r="AR1" s="288"/>
      <c r="AS1" s="288"/>
      <c r="AT1" s="288"/>
      <c r="AU1" s="288"/>
      <c r="AV1" s="288"/>
      <c r="AW1" s="288"/>
      <c r="AX1" s="288"/>
      <c r="AY1" s="288"/>
      <c r="AZ1" s="288"/>
      <c r="BA1" s="288"/>
      <c r="BB1" s="288"/>
      <c r="BC1" s="288"/>
      <c r="BD1" s="288"/>
      <c r="BE1" s="239"/>
      <c r="BF1" s="288"/>
      <c r="BG1" s="224"/>
      <c r="BH1" s="224"/>
      <c r="BI1" s="224"/>
      <c r="BJ1" s="224"/>
      <c r="BK1" s="224"/>
      <c r="BL1" s="224"/>
      <c r="BM1" s="224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</row>
    <row r="2" spans="1:110" s="314" customFormat="1" ht="15" x14ac:dyDescent="0.25">
      <c r="A2" s="362"/>
      <c r="BE2" s="441"/>
      <c r="BG2" s="308"/>
      <c r="BH2" s="308"/>
      <c r="BI2" s="308"/>
      <c r="BJ2" s="308"/>
      <c r="BK2" s="308"/>
      <c r="BL2" s="308"/>
      <c r="BM2" s="308"/>
      <c r="BN2" s="373"/>
      <c r="BO2" s="373"/>
      <c r="BP2" s="373"/>
      <c r="BQ2" s="373"/>
      <c r="BR2" s="373"/>
      <c r="BS2" s="373"/>
      <c r="BT2" s="373"/>
      <c r="BU2" s="373"/>
      <c r="BV2" s="373"/>
      <c r="BW2" s="373"/>
      <c r="BX2" s="373"/>
      <c r="BY2" s="373"/>
      <c r="BZ2" s="373"/>
      <c r="CA2" s="373"/>
      <c r="CB2" s="373"/>
      <c r="CC2" s="373"/>
      <c r="CD2" s="373"/>
      <c r="CE2" s="373"/>
      <c r="CF2" s="373"/>
      <c r="CG2" s="373"/>
      <c r="CH2" s="373"/>
      <c r="CI2" s="373"/>
      <c r="CJ2" s="373"/>
      <c r="CK2" s="373"/>
      <c r="CL2" s="373"/>
      <c r="CM2" s="373"/>
      <c r="CN2" s="373"/>
      <c r="CO2" s="373"/>
      <c r="CP2" s="373"/>
      <c r="CQ2" s="373"/>
      <c r="CR2" s="373"/>
      <c r="CS2" s="373"/>
      <c r="CT2" s="373"/>
      <c r="CU2" s="373"/>
      <c r="CV2" s="373"/>
      <c r="CW2" s="373"/>
      <c r="CX2" s="373"/>
      <c r="CY2" s="373"/>
      <c r="CZ2" s="373"/>
      <c r="DA2" s="373"/>
      <c r="DB2" s="373"/>
      <c r="DC2" s="373"/>
      <c r="DD2" s="373"/>
      <c r="DE2" s="373"/>
      <c r="DF2" s="373"/>
    </row>
    <row r="3" spans="1:110" s="314" customFormat="1" ht="15" x14ac:dyDescent="0.25">
      <c r="A3" s="362"/>
      <c r="BE3" s="441"/>
      <c r="BG3" s="308"/>
      <c r="BH3" s="308"/>
      <c r="BI3" s="308"/>
      <c r="BJ3" s="308"/>
      <c r="BK3" s="308"/>
      <c r="BL3" s="308"/>
      <c r="BM3" s="308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</row>
    <row r="4" spans="1:110" s="314" customFormat="1" ht="15" x14ac:dyDescent="0.25">
      <c r="A4" s="362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24"/>
      <c r="AV4" s="310"/>
      <c r="AW4" s="324"/>
      <c r="AX4" s="310"/>
      <c r="AY4" s="324"/>
      <c r="AZ4" s="310"/>
      <c r="BA4" s="442"/>
      <c r="BB4" s="442"/>
      <c r="BC4" s="442"/>
      <c r="BD4" s="310"/>
      <c r="BE4" s="324"/>
      <c r="BF4" s="310"/>
      <c r="BG4" s="308"/>
      <c r="BH4" s="308"/>
      <c r="BI4" s="308"/>
      <c r="BJ4" s="308"/>
      <c r="BK4" s="308"/>
      <c r="BL4" s="308"/>
      <c r="BM4" s="308"/>
      <c r="BN4" s="373"/>
      <c r="BO4" s="373"/>
      <c r="BP4" s="373"/>
      <c r="BQ4" s="373"/>
      <c r="BR4" s="373"/>
      <c r="BS4" s="373"/>
      <c r="BT4" s="373"/>
      <c r="BU4" s="373"/>
      <c r="BV4" s="373"/>
      <c r="BW4" s="373"/>
      <c r="BX4" s="373"/>
      <c r="BY4" s="373"/>
      <c r="BZ4" s="373"/>
      <c r="CA4" s="373"/>
      <c r="CB4" s="373"/>
      <c r="CC4" s="373"/>
      <c r="CD4" s="373"/>
      <c r="CE4" s="373"/>
      <c r="CF4" s="373"/>
      <c r="CG4" s="37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  <c r="DC4" s="373"/>
      <c r="DD4" s="373"/>
      <c r="DE4" s="373"/>
      <c r="DF4" s="373"/>
    </row>
    <row r="5" spans="1:110" s="314" customFormat="1" ht="15.75" thickBot="1" x14ac:dyDescent="0.3">
      <c r="A5" s="362"/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142"/>
      <c r="AE5" s="470" t="s">
        <v>80</v>
      </c>
      <c r="AF5" s="470"/>
      <c r="AG5" s="470"/>
      <c r="AH5" s="376"/>
      <c r="AI5" s="471" t="s">
        <v>185</v>
      </c>
      <c r="AJ5" s="471"/>
      <c r="AK5" s="471"/>
      <c r="AL5" s="323"/>
      <c r="AM5" s="464" t="s">
        <v>110</v>
      </c>
      <c r="AN5" s="464"/>
      <c r="AO5" s="464"/>
      <c r="AP5" s="464"/>
      <c r="AQ5" s="464"/>
      <c r="AR5" s="464"/>
      <c r="AS5" s="464"/>
      <c r="AT5" s="310"/>
      <c r="AU5" s="464" t="s">
        <v>114</v>
      </c>
      <c r="AV5" s="464"/>
      <c r="AW5" s="464"/>
      <c r="AX5" s="464"/>
      <c r="AY5" s="464"/>
      <c r="AZ5" s="464"/>
      <c r="BA5" s="464"/>
      <c r="BB5" s="323"/>
      <c r="BC5" s="457" t="s">
        <v>196</v>
      </c>
      <c r="BD5" s="457"/>
      <c r="BE5" s="457"/>
      <c r="BG5" s="409"/>
      <c r="BH5" s="409"/>
      <c r="BI5" s="409"/>
      <c r="BJ5" s="409"/>
      <c r="BK5" s="409"/>
      <c r="BL5" s="409"/>
      <c r="BM5" s="409"/>
      <c r="BN5" s="409"/>
      <c r="BO5" s="409"/>
      <c r="BP5" s="373"/>
      <c r="BQ5" s="373"/>
      <c r="BR5" s="373"/>
      <c r="BS5" s="373"/>
      <c r="BT5" s="373"/>
      <c r="BU5" s="373"/>
      <c r="BV5" s="373"/>
      <c r="BW5" s="373"/>
      <c r="BX5" s="373"/>
      <c r="BY5" s="373"/>
      <c r="BZ5" s="373"/>
      <c r="CA5" s="373"/>
      <c r="CB5" s="373"/>
      <c r="CC5" s="373"/>
      <c r="CD5" s="373"/>
      <c r="CE5" s="373"/>
      <c r="CF5" s="373"/>
      <c r="CG5" s="37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  <c r="DC5" s="373"/>
      <c r="DD5" s="373"/>
      <c r="DE5" s="373"/>
      <c r="DF5" s="373"/>
    </row>
    <row r="6" spans="1:110" s="96" customFormat="1" ht="15" x14ac:dyDescent="0.2">
      <c r="A6" s="61"/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142"/>
      <c r="AE6" s="172"/>
      <c r="AF6" s="173"/>
      <c r="AG6" s="174"/>
      <c r="AH6" s="267"/>
      <c r="AI6" s="386"/>
      <c r="AJ6" s="387"/>
      <c r="AK6" s="388" t="str">
        <f>+'Lead Sheet '!AO4</f>
        <v>Barbara</v>
      </c>
      <c r="AL6" s="290"/>
      <c r="AM6" s="103"/>
      <c r="AN6" s="104"/>
      <c r="AO6" s="104"/>
      <c r="AP6" s="104"/>
      <c r="AQ6" s="104"/>
      <c r="AR6" s="104"/>
      <c r="AS6" s="105"/>
      <c r="AT6" s="95"/>
      <c r="AU6" s="176"/>
      <c r="AV6" s="92"/>
      <c r="AW6" s="177"/>
      <c r="AX6" s="92"/>
      <c r="AY6" s="177"/>
      <c r="AZ6" s="92"/>
      <c r="BA6" s="178"/>
      <c r="BB6" s="95"/>
      <c r="BC6" s="172"/>
      <c r="BD6" s="173"/>
      <c r="BE6" s="174"/>
      <c r="BG6" s="79"/>
      <c r="BH6" s="77"/>
      <c r="BI6" s="81"/>
      <c r="BJ6" s="77"/>
      <c r="BK6" s="81"/>
      <c r="BL6" s="77"/>
      <c r="BM6" s="81"/>
      <c r="BN6" s="77"/>
      <c r="BO6" s="82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</row>
    <row r="7" spans="1:110" s="96" customFormat="1" ht="15" x14ac:dyDescent="0.25">
      <c r="A7" s="61"/>
      <c r="C7" s="90" t="str">
        <f>+'Lead Sheet '!C5</f>
        <v>Bob</v>
      </c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tr">
        <f>+'Lead Sheet '!AM5</f>
        <v>James</v>
      </c>
      <c r="AJ7" s="290"/>
      <c r="AK7" s="107" t="str">
        <f>+'Lead Sheet '!AO5</f>
        <v>BUTTERHOF</v>
      </c>
      <c r="AL7" s="290"/>
      <c r="AM7" s="106" t="s">
        <v>388</v>
      </c>
      <c r="AN7" s="290"/>
      <c r="AO7" s="95" t="s">
        <v>390</v>
      </c>
      <c r="AP7" s="290"/>
      <c r="AQ7" s="95" t="s">
        <v>143</v>
      </c>
      <c r="AR7" s="290"/>
      <c r="AS7" s="107" t="s">
        <v>393</v>
      </c>
      <c r="AT7" s="95"/>
      <c r="AU7" s="233" t="s">
        <v>395</v>
      </c>
      <c r="AV7" s="95"/>
      <c r="AW7" s="235" t="s">
        <v>397</v>
      </c>
      <c r="AX7" s="95"/>
      <c r="AY7" s="235" t="s">
        <v>399</v>
      </c>
      <c r="AZ7" s="95"/>
      <c r="BA7" s="234" t="s">
        <v>401</v>
      </c>
      <c r="BB7" s="95"/>
      <c r="BC7" s="155"/>
      <c r="BD7" s="324"/>
      <c r="BE7" s="156"/>
      <c r="BG7" s="78" t="s">
        <v>24</v>
      </c>
      <c r="BH7" s="76"/>
      <c r="BI7" s="83" t="s">
        <v>24</v>
      </c>
      <c r="BJ7" s="76"/>
      <c r="BK7" s="83" t="s">
        <v>24</v>
      </c>
      <c r="BL7" s="76"/>
      <c r="BM7" s="83" t="s">
        <v>24</v>
      </c>
      <c r="BN7" s="76"/>
      <c r="BO7" s="84" t="s">
        <v>24</v>
      </c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</row>
    <row r="8" spans="1:110" s="96" customFormat="1" ht="14.25" x14ac:dyDescent="0.2">
      <c r="A8" s="61" t="s">
        <v>91</v>
      </c>
      <c r="C8" s="90" t="str">
        <f>+'Lead Sheet '!C6</f>
        <v>HUGIN</v>
      </c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tr">
        <f>+'Lead Sheet '!AM6</f>
        <v>BERTINO</v>
      </c>
      <c r="AJ8" s="290"/>
      <c r="AK8" s="107" t="str">
        <f>+'Lead Sheet '!AO6</f>
        <v>RHEAULT</v>
      </c>
      <c r="AL8" s="290"/>
      <c r="AM8" s="106" t="s">
        <v>389</v>
      </c>
      <c r="AN8" s="290"/>
      <c r="AO8" s="95" t="s">
        <v>391</v>
      </c>
      <c r="AP8" s="290"/>
      <c r="AQ8" s="95" t="s">
        <v>392</v>
      </c>
      <c r="AR8" s="290"/>
      <c r="AS8" s="107" t="s">
        <v>394</v>
      </c>
      <c r="AT8" s="95"/>
      <c r="AU8" s="166" t="s">
        <v>396</v>
      </c>
      <c r="AV8" s="95"/>
      <c r="AW8" s="152" t="s">
        <v>398</v>
      </c>
      <c r="AX8" s="95"/>
      <c r="AY8" s="152" t="s">
        <v>400</v>
      </c>
      <c r="AZ8" s="95"/>
      <c r="BA8" s="167" t="s">
        <v>402</v>
      </c>
      <c r="BB8" s="95"/>
      <c r="BC8" s="315" t="s">
        <v>106</v>
      </c>
      <c r="BD8" s="143"/>
      <c r="BE8" s="316" t="s">
        <v>107</v>
      </c>
      <c r="BG8" s="78" t="s">
        <v>83</v>
      </c>
      <c r="BH8" s="76"/>
      <c r="BI8" s="83" t="s">
        <v>84</v>
      </c>
      <c r="BJ8" s="76"/>
      <c r="BK8" s="83" t="s">
        <v>85</v>
      </c>
      <c r="BL8" s="76"/>
      <c r="BM8" s="83" t="s">
        <v>86</v>
      </c>
      <c r="BN8" s="76"/>
      <c r="BO8" s="84" t="s">
        <v>87</v>
      </c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</row>
    <row r="9" spans="1:110" s="96" customFormat="1" ht="14.25" x14ac:dyDescent="0.2">
      <c r="A9" s="61" t="s">
        <v>92</v>
      </c>
      <c r="C9" s="90" t="str">
        <f>+'Lead Sheet '!C7</f>
        <v>Republican</v>
      </c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tr">
        <f>+'Lead Sheet '!AM7</f>
        <v>Republican</v>
      </c>
      <c r="AJ9" s="290"/>
      <c r="AK9" s="107" t="str">
        <f>+'Lead Sheet '!AO7</f>
        <v>Democratic</v>
      </c>
      <c r="AL9" s="290"/>
      <c r="AM9" s="106" t="s">
        <v>93</v>
      </c>
      <c r="AN9" s="290"/>
      <c r="AO9" s="95" t="s">
        <v>93</v>
      </c>
      <c r="AP9" s="290"/>
      <c r="AQ9" s="95" t="s">
        <v>99</v>
      </c>
      <c r="AR9" s="290"/>
      <c r="AS9" s="107" t="s">
        <v>99</v>
      </c>
      <c r="AT9" s="95"/>
      <c r="AU9" s="166"/>
      <c r="AV9" s="95"/>
      <c r="AW9" s="152"/>
      <c r="AX9" s="95"/>
      <c r="AY9" s="152"/>
      <c r="AZ9" s="95"/>
      <c r="BA9" s="167"/>
      <c r="BB9" s="95"/>
      <c r="BC9" s="296"/>
      <c r="BD9" s="295"/>
      <c r="BE9" s="297"/>
      <c r="BG9" s="78" t="s">
        <v>89</v>
      </c>
      <c r="BH9" s="76"/>
      <c r="BI9" s="83" t="s">
        <v>90</v>
      </c>
      <c r="BJ9" s="76"/>
      <c r="BK9" s="83" t="s">
        <v>89</v>
      </c>
      <c r="BL9" s="76"/>
      <c r="BM9" s="83" t="s">
        <v>89</v>
      </c>
      <c r="BN9" s="76"/>
      <c r="BO9" s="84" t="s">
        <v>89</v>
      </c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</row>
    <row r="10" spans="1:110" s="96" customFormat="1" ht="15" thickBot="1" x14ac:dyDescent="0.25">
      <c r="A10" s="61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90"/>
      <c r="AM10" s="120"/>
      <c r="AN10" s="289"/>
      <c r="AO10" s="289"/>
      <c r="AP10" s="289"/>
      <c r="AQ10" s="289"/>
      <c r="AR10" s="289"/>
      <c r="AS10" s="121"/>
      <c r="AT10" s="95"/>
      <c r="AU10" s="179"/>
      <c r="AV10" s="100"/>
      <c r="AW10" s="181"/>
      <c r="AX10" s="100"/>
      <c r="AY10" s="181"/>
      <c r="AZ10" s="100"/>
      <c r="BA10" s="182"/>
      <c r="BB10" s="95"/>
      <c r="BC10" s="146"/>
      <c r="BD10" s="144"/>
      <c r="BE10" s="145"/>
      <c r="BF10" s="95"/>
      <c r="BG10" s="80"/>
      <c r="BH10" s="85"/>
      <c r="BI10" s="85"/>
      <c r="BJ10" s="85"/>
      <c r="BK10" s="85"/>
      <c r="BL10" s="85"/>
      <c r="BM10" s="85"/>
      <c r="BN10" s="85"/>
      <c r="BO10" s="86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</row>
    <row r="11" spans="1:110" x14ac:dyDescent="0.2">
      <c r="A11" s="61" t="s">
        <v>49</v>
      </c>
      <c r="C11" s="62">
        <f>119+130</f>
        <v>249</v>
      </c>
      <c r="D11" s="35"/>
      <c r="E11" s="62">
        <f>133+141</f>
        <v>274</v>
      </c>
      <c r="F11" s="35"/>
      <c r="G11" s="62">
        <f>7+5</f>
        <v>12</v>
      </c>
      <c r="H11" s="35"/>
      <c r="I11" s="62">
        <f>1+2</f>
        <v>3</v>
      </c>
      <c r="J11" s="35"/>
      <c r="K11" s="62">
        <f>4+2</f>
        <v>6</v>
      </c>
      <c r="L11" s="35"/>
      <c r="M11" s="62">
        <v>2</v>
      </c>
      <c r="N11" s="35"/>
      <c r="O11" s="62">
        <v>1</v>
      </c>
      <c r="P11" s="35"/>
      <c r="Q11" s="62">
        <v>0</v>
      </c>
      <c r="R11" s="35"/>
      <c r="S11" s="62">
        <f>99+122</f>
        <v>221</v>
      </c>
      <c r="T11" s="35"/>
      <c r="U11" s="62">
        <f>150+151</f>
        <v>301</v>
      </c>
      <c r="V11" s="35"/>
      <c r="W11" s="62">
        <f>2+2</f>
        <v>4</v>
      </c>
      <c r="X11" s="35"/>
      <c r="Y11" s="62">
        <f>2+3</f>
        <v>5</v>
      </c>
      <c r="Z11" s="35"/>
      <c r="AA11" s="62">
        <f>4+3</f>
        <v>7</v>
      </c>
      <c r="AB11" s="35"/>
      <c r="AC11" s="62">
        <f>3+2</f>
        <v>5</v>
      </c>
      <c r="AD11" s="35"/>
      <c r="AE11" s="62">
        <f>110+134</f>
        <v>244</v>
      </c>
      <c r="AF11" s="35"/>
      <c r="AG11" s="62">
        <f>147+145</f>
        <v>292</v>
      </c>
      <c r="AH11" s="35"/>
      <c r="AI11" s="62">
        <f>95+113</f>
        <v>208</v>
      </c>
      <c r="AJ11" s="35"/>
      <c r="AK11" s="62">
        <f>161+157</f>
        <v>318</v>
      </c>
      <c r="AL11" s="35"/>
      <c r="AM11" s="62">
        <f>109+126</f>
        <v>235</v>
      </c>
      <c r="AN11" s="35"/>
      <c r="AO11" s="62">
        <f>112+130</f>
        <v>242</v>
      </c>
      <c r="AP11" s="35"/>
      <c r="AQ11" s="62">
        <f>148+146</f>
        <v>294</v>
      </c>
      <c r="AR11" s="35"/>
      <c r="AS11" s="62">
        <f>135+131</f>
        <v>266</v>
      </c>
      <c r="AT11" s="35"/>
      <c r="AU11" s="62">
        <f>93+112</f>
        <v>205</v>
      </c>
      <c r="AV11" s="35"/>
      <c r="AW11" s="62">
        <f>107+129</f>
        <v>236</v>
      </c>
      <c r="AX11" s="35"/>
      <c r="AY11" s="62">
        <f>89+111</f>
        <v>200</v>
      </c>
      <c r="AZ11" s="35"/>
      <c r="BA11" s="62">
        <f>85+106</f>
        <v>191</v>
      </c>
      <c r="BB11" s="35"/>
      <c r="BC11" s="62">
        <f>79+78</f>
        <v>157</v>
      </c>
      <c r="BD11" s="35"/>
      <c r="BE11" s="62">
        <f>111+122</f>
        <v>233</v>
      </c>
      <c r="BF11" s="35"/>
      <c r="BG11" s="62">
        <f>266+288</f>
        <v>554</v>
      </c>
      <c r="BH11" s="35"/>
      <c r="BI11" s="62">
        <v>43</v>
      </c>
      <c r="BJ11" s="35"/>
      <c r="BK11" s="62">
        <v>61</v>
      </c>
      <c r="BL11" s="63"/>
      <c r="BM11" s="62"/>
      <c r="BN11" s="63"/>
      <c r="BO11" s="62">
        <f>+SUM(BG11:BM11)</f>
        <v>658</v>
      </c>
    </row>
    <row r="12" spans="1:110" x14ac:dyDescent="0.2">
      <c r="A12" s="61" t="s">
        <v>50</v>
      </c>
      <c r="C12" s="60">
        <f>221+237</f>
        <v>458</v>
      </c>
      <c r="D12" s="35"/>
      <c r="E12" s="60">
        <f>122+103</f>
        <v>225</v>
      </c>
      <c r="F12" s="35"/>
      <c r="G12" s="60">
        <f>5+2</f>
        <v>7</v>
      </c>
      <c r="H12" s="35"/>
      <c r="I12" s="60">
        <f>2+1</f>
        <v>3</v>
      </c>
      <c r="J12" s="35"/>
      <c r="K12" s="60">
        <f>3+1</f>
        <v>4</v>
      </c>
      <c r="L12" s="35"/>
      <c r="M12" s="60">
        <f>2+3</f>
        <v>5</v>
      </c>
      <c r="N12" s="35"/>
      <c r="O12" s="60">
        <f>1+2</f>
        <v>3</v>
      </c>
      <c r="P12" s="35"/>
      <c r="Q12" s="60">
        <v>0</v>
      </c>
      <c r="R12" s="35"/>
      <c r="S12" s="60">
        <f>195+211</f>
        <v>406</v>
      </c>
      <c r="T12" s="35"/>
      <c r="U12" s="60">
        <f>153+135</f>
        <v>288</v>
      </c>
      <c r="V12" s="35"/>
      <c r="W12" s="60">
        <f>3+2</f>
        <v>5</v>
      </c>
      <c r="X12" s="35"/>
      <c r="Y12" s="60">
        <v>1</v>
      </c>
      <c r="Z12" s="35"/>
      <c r="AA12" s="60">
        <f>2+3</f>
        <v>5</v>
      </c>
      <c r="AB12" s="35"/>
      <c r="AC12" s="60">
        <v>1</v>
      </c>
      <c r="AD12" s="35"/>
      <c r="AE12" s="60">
        <f>223+228</f>
        <v>451</v>
      </c>
      <c r="AF12" s="35"/>
      <c r="AG12" s="60">
        <f>126+121</f>
        <v>247</v>
      </c>
      <c r="AH12" s="35"/>
      <c r="AI12" s="60">
        <f>207+217</f>
        <v>424</v>
      </c>
      <c r="AJ12" s="35"/>
      <c r="AK12" s="60">
        <f>146+137</f>
        <v>283</v>
      </c>
      <c r="AL12" s="35"/>
      <c r="AM12" s="60">
        <f>212+222</f>
        <v>434</v>
      </c>
      <c r="AN12" s="35"/>
      <c r="AO12" s="60">
        <f>216+233</f>
        <v>449</v>
      </c>
      <c r="AP12" s="35"/>
      <c r="AQ12" s="60">
        <f>132+125</f>
        <v>257</v>
      </c>
      <c r="AR12" s="35"/>
      <c r="AS12" s="60">
        <f>123+110</f>
        <v>233</v>
      </c>
      <c r="AT12" s="35"/>
      <c r="AU12" s="60">
        <f>137+133</f>
        <v>270</v>
      </c>
      <c r="AV12" s="35"/>
      <c r="AW12" s="60">
        <f>197+194</f>
        <v>391</v>
      </c>
      <c r="AX12" s="35"/>
      <c r="AY12" s="60">
        <f>190+186</f>
        <v>376</v>
      </c>
      <c r="AZ12" s="35"/>
      <c r="BA12" s="60">
        <f>156+156</f>
        <v>312</v>
      </c>
      <c r="BB12" s="35"/>
      <c r="BC12" s="60">
        <f>110+109</f>
        <v>219</v>
      </c>
      <c r="BD12" s="35"/>
      <c r="BE12" s="60">
        <f>214+212</f>
        <v>426</v>
      </c>
      <c r="BF12" s="35"/>
      <c r="BG12" s="60">
        <f>358+359</f>
        <v>717</v>
      </c>
      <c r="BH12" s="35"/>
      <c r="BI12" s="60">
        <v>89</v>
      </c>
      <c r="BJ12" s="35"/>
      <c r="BK12" s="60">
        <v>0</v>
      </c>
      <c r="BL12" s="63"/>
      <c r="BM12" s="60"/>
      <c r="BN12" s="63"/>
      <c r="BO12" s="62">
        <f>+SUM(BG12:BM12)</f>
        <v>806</v>
      </c>
    </row>
    <row r="13" spans="1:110" x14ac:dyDescent="0.2">
      <c r="A13" s="61" t="s">
        <v>51</v>
      </c>
      <c r="C13" s="60">
        <f>285+286</f>
        <v>571</v>
      </c>
      <c r="D13" s="35"/>
      <c r="E13" s="60">
        <f>127+137</f>
        <v>264</v>
      </c>
      <c r="F13" s="35"/>
      <c r="G13" s="60">
        <f>3+2</f>
        <v>5</v>
      </c>
      <c r="H13" s="35"/>
      <c r="I13" s="60">
        <v>5</v>
      </c>
      <c r="J13" s="35"/>
      <c r="K13" s="60">
        <f>3+5</f>
        <v>8</v>
      </c>
      <c r="L13" s="35"/>
      <c r="M13" s="60">
        <f>2+5</f>
        <v>7</v>
      </c>
      <c r="N13" s="35"/>
      <c r="O13" s="60">
        <v>1</v>
      </c>
      <c r="P13" s="35"/>
      <c r="Q13" s="60">
        <v>0</v>
      </c>
      <c r="R13" s="35"/>
      <c r="S13" s="60">
        <f>257+248</f>
        <v>505</v>
      </c>
      <c r="T13" s="35"/>
      <c r="U13" s="60">
        <f>164+187</f>
        <v>351</v>
      </c>
      <c r="V13" s="35"/>
      <c r="W13" s="60">
        <f>1+2</f>
        <v>3</v>
      </c>
      <c r="X13" s="35"/>
      <c r="Y13" s="60">
        <v>0</v>
      </c>
      <c r="Z13" s="35"/>
      <c r="AA13" s="60">
        <v>2</v>
      </c>
      <c r="AB13" s="35"/>
      <c r="AC13" s="60">
        <v>0</v>
      </c>
      <c r="AD13" s="35"/>
      <c r="AE13" s="60">
        <f>281+276</f>
        <v>557</v>
      </c>
      <c r="AF13" s="35"/>
      <c r="AG13" s="60">
        <f>127+155</f>
        <v>282</v>
      </c>
      <c r="AH13" s="35"/>
      <c r="AI13" s="60">
        <f>252+240</f>
        <v>492</v>
      </c>
      <c r="AJ13" s="35"/>
      <c r="AK13" s="60">
        <f>172+193</f>
        <v>365</v>
      </c>
      <c r="AL13" s="35"/>
      <c r="AM13" s="60">
        <f>276+277</f>
        <v>553</v>
      </c>
      <c r="AN13" s="35"/>
      <c r="AO13" s="60">
        <f>286+290</f>
        <v>576</v>
      </c>
      <c r="AP13" s="35"/>
      <c r="AQ13" s="60">
        <f>140+149</f>
        <v>289</v>
      </c>
      <c r="AR13" s="35"/>
      <c r="AS13" s="60">
        <f>126+137</f>
        <v>263</v>
      </c>
      <c r="AT13" s="35"/>
      <c r="AU13" s="60">
        <f>140+143</f>
        <v>283</v>
      </c>
      <c r="AV13" s="35"/>
      <c r="AW13" s="60">
        <f>195+205</f>
        <v>400</v>
      </c>
      <c r="AX13" s="35"/>
      <c r="AY13" s="60">
        <f>204+221</f>
        <v>425</v>
      </c>
      <c r="AZ13" s="35"/>
      <c r="BA13" s="60">
        <f>189+185</f>
        <v>374</v>
      </c>
      <c r="BB13" s="35"/>
      <c r="BC13" s="60">
        <f>125+115</f>
        <v>240</v>
      </c>
      <c r="BD13" s="35"/>
      <c r="BE13" s="60">
        <f>254+270</f>
        <v>524</v>
      </c>
      <c r="BF13" s="35"/>
      <c r="BG13" s="60">
        <f>433+444</f>
        <v>877</v>
      </c>
      <c r="BH13" s="35"/>
      <c r="BI13" s="60">
        <v>82</v>
      </c>
      <c r="BJ13" s="35"/>
      <c r="BK13" s="60">
        <v>0</v>
      </c>
      <c r="BL13" s="63"/>
      <c r="BM13" s="60"/>
      <c r="BN13" s="63"/>
      <c r="BO13" s="62">
        <f>+SUM(BG13:BM13)</f>
        <v>959</v>
      </c>
    </row>
    <row r="14" spans="1:110" ht="13.5" thickBot="1" x14ac:dyDescent="0.25"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63"/>
      <c r="BM14" s="35"/>
      <c r="BN14" s="63"/>
    </row>
    <row r="15" spans="1:110" s="48" customFormat="1" ht="13.5" thickBot="1" x14ac:dyDescent="0.25">
      <c r="A15" s="3" t="s">
        <v>24</v>
      </c>
      <c r="C15" s="41">
        <f>+SUM(C11:C13)</f>
        <v>1278</v>
      </c>
      <c r="D15" s="118"/>
      <c r="E15" s="41">
        <f>+SUM(E11:E13)</f>
        <v>763</v>
      </c>
      <c r="F15" s="118"/>
      <c r="G15" s="41">
        <f>+SUM(G11:G13)</f>
        <v>24</v>
      </c>
      <c r="H15" s="118"/>
      <c r="I15" s="41">
        <f>+SUM(I11:I13)</f>
        <v>11</v>
      </c>
      <c r="J15" s="118"/>
      <c r="K15" s="41">
        <f>+SUM(K11:K13)</f>
        <v>18</v>
      </c>
      <c r="L15" s="118"/>
      <c r="M15" s="41">
        <f>+SUM(M11:M13)</f>
        <v>14</v>
      </c>
      <c r="N15" s="118"/>
      <c r="O15" s="41">
        <f>+SUM(O11:O13)</f>
        <v>5</v>
      </c>
      <c r="P15" s="118"/>
      <c r="Q15" s="41">
        <f>+SUM(Q11:Q13)</f>
        <v>0</v>
      </c>
      <c r="R15" s="118"/>
      <c r="S15" s="41">
        <f>+SUM(S11:S13)</f>
        <v>1132</v>
      </c>
      <c r="T15" s="118"/>
      <c r="U15" s="41">
        <f>+SUM(U11:U13)</f>
        <v>940</v>
      </c>
      <c r="V15" s="118"/>
      <c r="W15" s="41">
        <f>+SUM(W11:W13)</f>
        <v>12</v>
      </c>
      <c r="X15" s="118"/>
      <c r="Y15" s="41">
        <f>+SUM(Y11:Y13)</f>
        <v>6</v>
      </c>
      <c r="Z15" s="118"/>
      <c r="AA15" s="41">
        <f>+SUM(AA11:AA13)</f>
        <v>14</v>
      </c>
      <c r="AB15" s="118"/>
      <c r="AC15" s="41">
        <f>+SUM(AC11:AC13)</f>
        <v>6</v>
      </c>
      <c r="AD15" s="118"/>
      <c r="AE15" s="41">
        <f>+SUM(AE11:AE13)</f>
        <v>1252</v>
      </c>
      <c r="AF15" s="118"/>
      <c r="AG15" s="41">
        <f>+SUM(AG11:AG13)</f>
        <v>821</v>
      </c>
      <c r="AH15" s="118"/>
      <c r="AI15" s="41">
        <f>+SUM(AI11:AI13)</f>
        <v>1124</v>
      </c>
      <c r="AJ15" s="118"/>
      <c r="AK15" s="41">
        <f>+SUM(AK11:AK13)</f>
        <v>966</v>
      </c>
      <c r="AL15" s="118"/>
      <c r="AM15" s="41">
        <f>+SUM(AM11:AM13)</f>
        <v>1222</v>
      </c>
      <c r="AN15" s="118"/>
      <c r="AO15" s="41">
        <f>+SUM(AO11:AO13)</f>
        <v>1267</v>
      </c>
      <c r="AP15" s="118"/>
      <c r="AQ15" s="41">
        <f>+SUM(AQ11:AQ13)</f>
        <v>840</v>
      </c>
      <c r="AR15" s="118"/>
      <c r="AS15" s="41">
        <f>+SUM(AS11:AS13)</f>
        <v>762</v>
      </c>
      <c r="AT15" s="118"/>
      <c r="AU15" s="41">
        <f>+SUM(AU11:AU13)</f>
        <v>758</v>
      </c>
      <c r="AV15" s="118"/>
      <c r="AW15" s="41">
        <f>+SUM(AW11:AW13)</f>
        <v>1027</v>
      </c>
      <c r="AX15" s="118"/>
      <c r="AY15" s="41">
        <f>+SUM(AY11:AY13)</f>
        <v>1001</v>
      </c>
      <c r="AZ15" s="118"/>
      <c r="BA15" s="41">
        <f>+SUM(BA11:BA13)</f>
        <v>877</v>
      </c>
      <c r="BB15" s="118"/>
      <c r="BC15" s="41">
        <f>+SUM(BC11:BC13)</f>
        <v>616</v>
      </c>
      <c r="BD15" s="118"/>
      <c r="BE15" s="41">
        <f>+SUM(BE11:BE13)</f>
        <v>1183</v>
      </c>
      <c r="BF15" s="118"/>
      <c r="BG15" s="41">
        <f>+SUM(BG11:BG13)</f>
        <v>2148</v>
      </c>
      <c r="BH15" s="118"/>
      <c r="BI15" s="41">
        <f>+SUM(BI11:BI13)</f>
        <v>214</v>
      </c>
      <c r="BJ15" s="118"/>
      <c r="BK15" s="41">
        <f>+SUM(BK11:BK13)</f>
        <v>61</v>
      </c>
      <c r="BL15" s="112"/>
      <c r="BM15" s="41">
        <f>+SUM(BM11:BM13)</f>
        <v>0</v>
      </c>
      <c r="BN15" s="112"/>
      <c r="BO15" s="41">
        <f>+SUM(BO11:BO13)</f>
        <v>2423</v>
      </c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</row>
    <row r="16" spans="1:110" x14ac:dyDescent="0.2">
      <c r="A16" s="36" t="s">
        <v>73</v>
      </c>
      <c r="C16" s="35">
        <f>17+50+54</f>
        <v>121</v>
      </c>
      <c r="D16" s="35"/>
      <c r="E16" s="35">
        <f>24+35+27</f>
        <v>86</v>
      </c>
      <c r="F16" s="35"/>
      <c r="G16" s="35">
        <f>1+1</f>
        <v>2</v>
      </c>
      <c r="H16" s="35"/>
      <c r="I16" s="35">
        <f>1+1</f>
        <v>2</v>
      </c>
      <c r="J16" s="35"/>
      <c r="K16" s="35">
        <v>0</v>
      </c>
      <c r="L16" s="35"/>
      <c r="M16" s="35">
        <f>1</f>
        <v>1</v>
      </c>
      <c r="N16" s="35"/>
      <c r="O16" s="35">
        <v>0</v>
      </c>
      <c r="P16" s="35"/>
      <c r="Q16" s="35">
        <v>0</v>
      </c>
      <c r="R16" s="35"/>
      <c r="S16" s="35">
        <f>15+41+45</f>
        <v>101</v>
      </c>
      <c r="T16" s="35"/>
      <c r="U16" s="35">
        <f>27+45+34</f>
        <v>106</v>
      </c>
      <c r="V16" s="35"/>
      <c r="W16" s="35">
        <v>1</v>
      </c>
      <c r="X16" s="35"/>
      <c r="Y16" s="35">
        <v>0</v>
      </c>
      <c r="Z16" s="35"/>
      <c r="AA16" s="35">
        <v>1</v>
      </c>
      <c r="AB16" s="35"/>
      <c r="AC16" s="35">
        <f>1+1+1</f>
        <v>3</v>
      </c>
      <c r="AD16" s="35"/>
      <c r="AE16" s="35">
        <f>16+48+53</f>
        <v>117</v>
      </c>
      <c r="AF16" s="35"/>
      <c r="AG16" s="35">
        <f>27+38+28</f>
        <v>93</v>
      </c>
      <c r="AH16" s="35"/>
      <c r="AI16" s="35">
        <f>15+41+44</f>
        <v>100</v>
      </c>
      <c r="AJ16" s="35"/>
      <c r="AK16" s="35">
        <f>28+47+37</f>
        <v>112</v>
      </c>
      <c r="AL16" s="35"/>
      <c r="AM16" s="35">
        <f>18+42+48</f>
        <v>108</v>
      </c>
      <c r="AN16" s="35"/>
      <c r="AO16" s="35">
        <f>16+46+58</f>
        <v>120</v>
      </c>
      <c r="AP16" s="35"/>
      <c r="AQ16" s="35">
        <f>24+41+33</f>
        <v>98</v>
      </c>
      <c r="AR16" s="35"/>
      <c r="AS16" s="35">
        <f>25+42+23</f>
        <v>90</v>
      </c>
      <c r="AT16" s="35"/>
      <c r="AU16" s="35">
        <f>18+30+29</f>
        <v>77</v>
      </c>
      <c r="AV16" s="35"/>
      <c r="AW16" s="35">
        <f>20+44+40</f>
        <v>104</v>
      </c>
      <c r="AX16" s="35"/>
      <c r="AY16" s="35">
        <f>21+51+46</f>
        <v>118</v>
      </c>
      <c r="AZ16" s="35"/>
      <c r="BA16" s="35">
        <f>17+49+43</f>
        <v>109</v>
      </c>
      <c r="BB16" s="35"/>
      <c r="BC16" s="35">
        <f>26+41+44</f>
        <v>111</v>
      </c>
      <c r="BD16" s="35"/>
      <c r="BE16" s="35">
        <f>16+37+35</f>
        <v>88</v>
      </c>
      <c r="BF16" s="35"/>
      <c r="BG16" s="37"/>
      <c r="BH16" s="37"/>
      <c r="BI16" s="37"/>
      <c r="BK16" s="37"/>
      <c r="BL16" s="37"/>
      <c r="BM16" s="37"/>
    </row>
    <row r="17" spans="1:110" x14ac:dyDescent="0.2">
      <c r="A17" s="36" t="s">
        <v>25</v>
      </c>
      <c r="C17" s="35">
        <v>41</v>
      </c>
      <c r="D17" s="35"/>
      <c r="E17" s="35">
        <v>16</v>
      </c>
      <c r="F17" s="35"/>
      <c r="G17" s="35">
        <v>0</v>
      </c>
      <c r="H17" s="35"/>
      <c r="I17" s="35">
        <v>0</v>
      </c>
      <c r="J17" s="35"/>
      <c r="K17" s="35">
        <v>0</v>
      </c>
      <c r="L17" s="35"/>
      <c r="M17" s="35">
        <v>0</v>
      </c>
      <c r="N17" s="35"/>
      <c r="O17" s="35">
        <v>0</v>
      </c>
      <c r="P17" s="35"/>
      <c r="Q17" s="35">
        <v>0</v>
      </c>
      <c r="R17" s="35"/>
      <c r="S17" s="35">
        <v>37</v>
      </c>
      <c r="T17" s="35"/>
      <c r="U17" s="35">
        <v>20</v>
      </c>
      <c r="V17" s="35"/>
      <c r="W17" s="35">
        <v>0</v>
      </c>
      <c r="X17" s="35"/>
      <c r="Y17" s="35">
        <v>0</v>
      </c>
      <c r="Z17" s="35"/>
      <c r="AA17" s="35">
        <v>1</v>
      </c>
      <c r="AB17" s="35"/>
      <c r="AC17" s="35">
        <v>0</v>
      </c>
      <c r="AD17" s="35"/>
      <c r="AE17" s="35">
        <v>39</v>
      </c>
      <c r="AF17" s="35"/>
      <c r="AG17" s="35">
        <v>22</v>
      </c>
      <c r="AH17" s="35"/>
      <c r="AI17" s="35">
        <v>36</v>
      </c>
      <c r="AJ17" s="35"/>
      <c r="AK17" s="35">
        <v>23</v>
      </c>
      <c r="AL17" s="35"/>
      <c r="AM17" s="35">
        <v>39</v>
      </c>
      <c r="AN17" s="35"/>
      <c r="AO17" s="35">
        <v>43</v>
      </c>
      <c r="AP17" s="35"/>
      <c r="AQ17" s="35">
        <v>21</v>
      </c>
      <c r="AR17" s="35"/>
      <c r="AS17" s="35">
        <v>18</v>
      </c>
      <c r="AT17" s="35"/>
      <c r="AU17" s="35">
        <v>21</v>
      </c>
      <c r="AV17" s="35"/>
      <c r="AW17" s="35">
        <v>23</v>
      </c>
      <c r="AX17" s="35"/>
      <c r="AY17" s="35">
        <v>22</v>
      </c>
      <c r="AZ17" s="35"/>
      <c r="BA17" s="35">
        <v>24</v>
      </c>
      <c r="BB17" s="35"/>
      <c r="BC17" s="35">
        <v>20</v>
      </c>
      <c r="BD17" s="35"/>
      <c r="BE17" s="35">
        <v>26</v>
      </c>
      <c r="BF17" s="35"/>
    </row>
    <row r="18" spans="1:110" ht="13.5" thickBot="1" x14ac:dyDescent="0.25">
      <c r="A18" s="36" t="s">
        <v>79</v>
      </c>
      <c r="C18" s="35">
        <v>0</v>
      </c>
      <c r="D18" s="35"/>
      <c r="E18" s="35">
        <v>1</v>
      </c>
      <c r="F18" s="35"/>
      <c r="G18" s="35">
        <v>0</v>
      </c>
      <c r="H18" s="35"/>
      <c r="I18" s="35">
        <v>0</v>
      </c>
      <c r="J18" s="35"/>
      <c r="K18" s="35">
        <v>0</v>
      </c>
      <c r="L18" s="35"/>
      <c r="M18" s="35">
        <v>0</v>
      </c>
      <c r="N18" s="35"/>
      <c r="O18" s="35">
        <v>0</v>
      </c>
      <c r="P18" s="35"/>
      <c r="Q18" s="35">
        <v>0</v>
      </c>
      <c r="R18" s="35"/>
      <c r="S18" s="35">
        <v>0</v>
      </c>
      <c r="T18" s="35"/>
      <c r="U18" s="35">
        <v>1</v>
      </c>
      <c r="V18" s="35"/>
      <c r="W18" s="35">
        <v>0</v>
      </c>
      <c r="X18" s="35"/>
      <c r="Y18" s="35">
        <v>0</v>
      </c>
      <c r="Z18" s="35"/>
      <c r="AA18" s="35">
        <v>0</v>
      </c>
      <c r="AB18" s="35"/>
      <c r="AC18" s="35">
        <v>0</v>
      </c>
      <c r="AD18" s="35"/>
      <c r="AE18" s="35">
        <v>0</v>
      </c>
      <c r="AF18" s="35"/>
      <c r="AG18" s="35">
        <v>1</v>
      </c>
      <c r="AH18" s="35"/>
      <c r="AI18" s="35">
        <v>0</v>
      </c>
      <c r="AJ18" s="35"/>
      <c r="AK18" s="35">
        <v>1</v>
      </c>
      <c r="AL18" s="35"/>
      <c r="AM18" s="35">
        <v>0</v>
      </c>
      <c r="AN18" s="35"/>
      <c r="AO18" s="35">
        <v>0</v>
      </c>
      <c r="AP18" s="35"/>
      <c r="AQ18" s="35">
        <v>0</v>
      </c>
      <c r="AR18" s="35"/>
      <c r="AS18" s="35">
        <v>0</v>
      </c>
      <c r="AT18" s="35"/>
      <c r="AU18" s="35">
        <v>0</v>
      </c>
      <c r="AV18" s="35"/>
      <c r="AW18" s="35">
        <v>0</v>
      </c>
      <c r="AX18" s="35"/>
      <c r="AY18" s="35">
        <v>0</v>
      </c>
      <c r="AZ18" s="35"/>
      <c r="BA18" s="35">
        <v>0</v>
      </c>
      <c r="BB18" s="35"/>
      <c r="BC18" s="35">
        <v>1</v>
      </c>
      <c r="BD18" s="35"/>
      <c r="BE18" s="35">
        <v>0</v>
      </c>
      <c r="BF18" s="35"/>
    </row>
    <row r="19" spans="1:110" s="48" customFormat="1" ht="13.5" thickBot="1" x14ac:dyDescent="0.25">
      <c r="A19" s="3" t="s">
        <v>26</v>
      </c>
      <c r="C19" s="41">
        <f>+SUM(C15:C18)</f>
        <v>1440</v>
      </c>
      <c r="D19" s="118"/>
      <c r="E19" s="41">
        <f>+SUM(E15:E18)</f>
        <v>866</v>
      </c>
      <c r="F19" s="118"/>
      <c r="G19" s="41">
        <f>+SUM(G15:G18)</f>
        <v>26</v>
      </c>
      <c r="H19" s="118"/>
      <c r="I19" s="41">
        <f>+SUM(I15:I18)</f>
        <v>13</v>
      </c>
      <c r="J19" s="118"/>
      <c r="K19" s="41">
        <f>+SUM(K15:K18)</f>
        <v>18</v>
      </c>
      <c r="L19" s="118"/>
      <c r="M19" s="41">
        <f>+SUM(M15:M18)</f>
        <v>15</v>
      </c>
      <c r="N19" s="118"/>
      <c r="O19" s="41">
        <f>+SUM(O15:O18)</f>
        <v>5</v>
      </c>
      <c r="P19" s="118"/>
      <c r="Q19" s="41">
        <f>+SUM(Q15:Q18)</f>
        <v>0</v>
      </c>
      <c r="R19" s="118"/>
      <c r="S19" s="41">
        <f>+SUM(S15:S18)</f>
        <v>1270</v>
      </c>
      <c r="T19" s="118"/>
      <c r="U19" s="41">
        <f>+SUM(U15:U18)</f>
        <v>1067</v>
      </c>
      <c r="V19" s="118"/>
      <c r="W19" s="41">
        <f>+SUM(W15:W18)</f>
        <v>13</v>
      </c>
      <c r="X19" s="118"/>
      <c r="Y19" s="41">
        <f>+SUM(Y15:Y18)</f>
        <v>6</v>
      </c>
      <c r="Z19" s="118"/>
      <c r="AA19" s="41">
        <f>+SUM(AA15:AA18)</f>
        <v>16</v>
      </c>
      <c r="AB19" s="118"/>
      <c r="AC19" s="41">
        <f>+SUM(AC15:AC18)</f>
        <v>9</v>
      </c>
      <c r="AD19" s="118"/>
      <c r="AE19" s="41">
        <f>+SUM(AE15:AE18)</f>
        <v>1408</v>
      </c>
      <c r="AF19" s="118"/>
      <c r="AG19" s="41">
        <f>+SUM(AG15:AG18)</f>
        <v>937</v>
      </c>
      <c r="AH19" s="118"/>
      <c r="AI19" s="41">
        <f>+SUM(AI15:AI18)</f>
        <v>1260</v>
      </c>
      <c r="AJ19" s="118"/>
      <c r="AK19" s="41">
        <f>+SUM(AK15:AK18)</f>
        <v>1102</v>
      </c>
      <c r="AL19" s="118"/>
      <c r="AM19" s="41">
        <f>+SUM(AM15:AM18)</f>
        <v>1369</v>
      </c>
      <c r="AN19" s="118"/>
      <c r="AO19" s="41">
        <f>+SUM(AO15:AO18)</f>
        <v>1430</v>
      </c>
      <c r="AP19" s="118"/>
      <c r="AQ19" s="41">
        <f>+SUM(AQ15:AQ18)</f>
        <v>959</v>
      </c>
      <c r="AR19" s="118"/>
      <c r="AS19" s="41">
        <f>+SUM(AS15:AS18)</f>
        <v>870</v>
      </c>
      <c r="AT19" s="118"/>
      <c r="AU19" s="41">
        <f>+SUM(AU15:AU18)</f>
        <v>856</v>
      </c>
      <c r="AV19" s="118"/>
      <c r="AW19" s="41">
        <f>+SUM(AW15:AW18)</f>
        <v>1154</v>
      </c>
      <c r="AX19" s="118"/>
      <c r="AY19" s="41">
        <f>+SUM(AY15:AY18)</f>
        <v>1141</v>
      </c>
      <c r="AZ19" s="118"/>
      <c r="BA19" s="41">
        <f>+SUM(BA15:BA18)</f>
        <v>1010</v>
      </c>
      <c r="BB19" s="118"/>
      <c r="BC19" s="41">
        <f>+SUM(BC15:BC18)</f>
        <v>748</v>
      </c>
      <c r="BD19" s="118"/>
      <c r="BE19" s="41">
        <f>+SUM(BE15:BE18)</f>
        <v>1297</v>
      </c>
      <c r="BF19" s="118"/>
      <c r="BJ19" s="114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</row>
    <row r="20" spans="1:110" s="10" customFormat="1" x14ac:dyDescent="0.2">
      <c r="A20" s="61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110"/>
      <c r="BH20" s="110"/>
      <c r="BI20" s="110"/>
      <c r="BJ20" s="110"/>
      <c r="BK20" s="110"/>
      <c r="BL20" s="110"/>
      <c r="BM20" s="11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</row>
    <row r="21" spans="1:110" s="10" customFormat="1" x14ac:dyDescent="0.2">
      <c r="A21" s="6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110"/>
      <c r="BH21" s="110"/>
      <c r="BI21" s="110"/>
      <c r="BJ21" s="110"/>
      <c r="BK21" s="110"/>
      <c r="BL21" s="110"/>
      <c r="BM21" s="11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</row>
    <row r="22" spans="1:110" x14ac:dyDescent="0.2">
      <c r="A22" s="89"/>
      <c r="C22" s="35"/>
      <c r="E22" s="35"/>
      <c r="G22" s="35"/>
      <c r="I22" s="35"/>
      <c r="K22" s="35"/>
      <c r="M22" s="35"/>
      <c r="O22" s="35"/>
      <c r="Q22" s="35"/>
      <c r="S22" s="35"/>
      <c r="U22" s="35"/>
      <c r="W22" s="35"/>
      <c r="Y22" s="35"/>
      <c r="AA22" s="35"/>
      <c r="AC22" s="35"/>
      <c r="AE22" s="35"/>
      <c r="AG22" s="35"/>
      <c r="AI22" s="35"/>
      <c r="AK22" s="35"/>
      <c r="AM22" s="35"/>
      <c r="AO22" s="35"/>
      <c r="AQ22" s="35"/>
      <c r="AS22" s="35"/>
      <c r="AU22" s="35"/>
      <c r="AW22" s="35"/>
      <c r="AY22" s="35"/>
      <c r="BA22" s="35"/>
      <c r="BC22" s="35"/>
      <c r="BE22" s="35"/>
      <c r="BG22" s="35"/>
      <c r="BH22" s="35"/>
      <c r="BI22" s="35"/>
      <c r="BJ22" s="35"/>
      <c r="BK22" s="35"/>
      <c r="BL22" s="35"/>
      <c r="BM22" s="35"/>
      <c r="CW22" s="37"/>
      <c r="CX22" s="37"/>
      <c r="CY22" s="37"/>
      <c r="CZ22" s="37"/>
      <c r="DA22" s="37"/>
      <c r="DB22" s="37"/>
      <c r="DC22" s="37"/>
      <c r="DD22" s="37"/>
      <c r="DE22" s="37"/>
      <c r="DF22" s="37"/>
    </row>
    <row r="23" spans="1:110" x14ac:dyDescent="0.2">
      <c r="A23" s="240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CW23" s="37"/>
      <c r="CX23" s="37"/>
      <c r="CY23" s="37"/>
      <c r="CZ23" s="37"/>
      <c r="DA23" s="37"/>
      <c r="DB23" s="37"/>
      <c r="DC23" s="37"/>
      <c r="DD23" s="37"/>
      <c r="DE23" s="37"/>
      <c r="DF23" s="37"/>
    </row>
    <row r="24" spans="1:110" x14ac:dyDescent="0.2">
      <c r="A24" s="36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</row>
    <row r="25" spans="1:110" x14ac:dyDescent="0.2">
      <c r="A25" s="36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F25" s="35"/>
      <c r="BG25" s="35"/>
      <c r="BH25" s="35"/>
      <c r="BI25" s="35"/>
      <c r="BJ25" s="35"/>
      <c r="BK25" s="35"/>
      <c r="BL25" s="35"/>
      <c r="BM25" s="35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</row>
    <row r="26" spans="1:110" x14ac:dyDescent="0.2">
      <c r="A26" s="36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D26" s="235"/>
      <c r="BE26" s="237"/>
      <c r="BF26" s="241"/>
      <c r="BG26" s="35"/>
      <c r="BH26" s="35"/>
      <c r="BI26" s="35"/>
      <c r="BJ26" s="35"/>
      <c r="BK26" s="35"/>
      <c r="BL26" s="35"/>
      <c r="BM26" s="35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</row>
    <row r="27" spans="1:110" x14ac:dyDescent="0.2">
      <c r="A27" s="3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D27" s="235"/>
      <c r="BF27" s="241"/>
      <c r="BG27" s="35"/>
      <c r="BH27" s="35"/>
      <c r="BI27" s="35"/>
      <c r="BJ27" s="35"/>
      <c r="BK27" s="35"/>
      <c r="BL27" s="35"/>
      <c r="BM27" s="35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</row>
    <row r="28" spans="1:110" x14ac:dyDescent="0.2"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D28" s="235"/>
      <c r="BF28" s="241"/>
    </row>
    <row r="29" spans="1:110" x14ac:dyDescent="0.2"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D29" s="235"/>
      <c r="BF29" s="241"/>
    </row>
    <row r="30" spans="1:110" x14ac:dyDescent="0.2"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D30" s="235"/>
      <c r="BE30" s="242"/>
      <c r="BF30" s="241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AG14" sqref="AG14:AM16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&amp;C&amp;"Arial,Bold"&amp;11Township of Mullica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R6" activePane="bottomRight" state="frozen"/>
      <selection pane="bottomRight" activeCell="AM11" sqref="AM11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&amp;C&amp;"Arial,Bold"&amp;11Township of Mullica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R6" activePane="bottomRight" state="frozen"/>
      <selection pane="bottomRight" activeCell="AM11" sqref="AM11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&amp;C&amp;"Arial,Bold"&amp;11Township of Mullica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R6" activePane="bottomRight" state="frozen"/>
      <selection pane="bottomRight" activeCell="AM11" sqref="AM11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&amp;C&amp;"Arial,Bold"&amp;11Township of Mullica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R6" activePane="bottomRight" state="frozen"/>
      <selection pane="bottomRight" activeCell="AM11" sqref="AM11"/>
      <colBreaks count="2" manualBreakCount="2">
        <brk id="25" max="1048575" man="1"/>
        <brk id="57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&amp;C&amp;"Arial,Bold"&amp;11Township of Mullica
General Election - November 3, 2015
Prepared by the Office of Edward P. McGettigan, Atlantic County Clerk</oddHeader>
        <oddFooter>&amp;R&amp;11Page &amp;P</oddFooter>
      </headerFooter>
    </customSheetView>
  </customSheetViews>
  <mergeCells count="7">
    <mergeCell ref="AU5:BA5"/>
    <mergeCell ref="BC5:BE5"/>
    <mergeCell ref="C5:Q5"/>
    <mergeCell ref="S5:AC5"/>
    <mergeCell ref="AE5:AG5"/>
    <mergeCell ref="AI5:AK5"/>
    <mergeCell ref="AM5:AS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&amp;C&amp;"Arial,Bold"&amp;11Township of Mullica
General Election - November 6, 2018
Prepared by the Office of Edward P. McGettigan, Atlantic County Clerk</oddHeader>
    <oddFooter>&amp;R&amp;11Page &amp;P</oddFooter>
  </headerFooter>
  <colBreaks count="2" manualBreakCount="2">
    <brk id="29" max="19" man="1"/>
    <brk id="57" max="19" man="1"/>
  </colBreaks>
  <drawing r:id="rId7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DF961"/>
  <sheetViews>
    <sheetView zoomScale="75" zoomScaleNormal="75" zoomScaleSheetLayoutView="75" workbookViewId="0">
      <pane xSplit="1" ySplit="10" topLeftCell="B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33" customWidth="1"/>
    <col min="5" max="5" width="11.28515625" style="33" customWidth="1"/>
    <col min="6" max="6" width="1.7109375" style="33" customWidth="1"/>
    <col min="7" max="7" width="15.8554687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5.8554687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4.28515625" style="33" customWidth="1"/>
    <col min="18" max="18" width="1.7109375" style="33" customWidth="1"/>
    <col min="19" max="19" width="13.140625" style="33" customWidth="1"/>
    <col min="20" max="20" width="1.7109375" style="33" customWidth="1"/>
    <col min="21" max="21" width="10.8554687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1.7109375" style="33" customWidth="1"/>
    <col min="28" max="28" width="1.7109375" style="33" customWidth="1"/>
    <col min="29" max="29" width="11.85546875" style="33" customWidth="1"/>
    <col min="30" max="30" width="1.7109375" style="33" customWidth="1"/>
    <col min="31" max="31" width="11.7109375" style="33" customWidth="1"/>
    <col min="32" max="32" width="1.7109375" style="33" customWidth="1"/>
    <col min="33" max="33" width="13.7109375" style="33" bestFit="1" customWidth="1"/>
    <col min="34" max="34" width="1.7109375" style="33" customWidth="1"/>
    <col min="35" max="35" width="11.7109375" style="33" customWidth="1"/>
    <col min="36" max="36" width="1.7109375" style="33" customWidth="1"/>
    <col min="37" max="37" width="11.7109375" style="33" customWidth="1"/>
    <col min="38" max="38" width="1.7109375" style="33" customWidth="1"/>
    <col min="39" max="39" width="11.7109375" style="33" customWidth="1"/>
    <col min="40" max="40" width="1.7109375" style="33" customWidth="1"/>
    <col min="41" max="41" width="11.7109375" style="33" customWidth="1"/>
    <col min="42" max="42" width="1.7109375" style="33" customWidth="1"/>
    <col min="43" max="43" width="11.7109375" style="33" customWidth="1"/>
    <col min="44" max="44" width="1.7109375" style="33" customWidth="1"/>
    <col min="45" max="45" width="11.7109375" style="33" customWidth="1"/>
    <col min="46" max="46" width="1.7109375" style="33" customWidth="1"/>
    <col min="47" max="47" width="11.7109375" style="33" customWidth="1"/>
    <col min="48" max="48" width="1.7109375" style="33" customWidth="1"/>
    <col min="49" max="49" width="11.7109375" style="33" customWidth="1"/>
    <col min="50" max="50" width="1.7109375" style="33" customWidth="1"/>
    <col min="51" max="51" width="11.7109375" style="33" customWidth="1"/>
    <col min="52" max="52" width="1.7109375" style="33" customWidth="1"/>
    <col min="53" max="53" width="9.7109375" style="33" customWidth="1"/>
    <col min="54" max="54" width="1.7109375" style="33" customWidth="1"/>
    <col min="55" max="55" width="9.7109375" style="33" customWidth="1"/>
    <col min="56" max="56" width="1.7109375" style="33" customWidth="1"/>
    <col min="57" max="57" width="8.85546875" style="1" customWidth="1"/>
    <col min="58" max="58" width="1.7109375" style="19" customWidth="1"/>
    <col min="59" max="59" width="8.28515625" style="14" customWidth="1"/>
    <col min="60" max="60" width="1.7109375" style="19" customWidth="1"/>
    <col min="61" max="61" width="11.140625" style="1" customWidth="1"/>
    <col min="62" max="62" width="1.7109375" style="1" customWidth="1"/>
    <col min="63" max="63" width="11.140625" style="1" customWidth="1"/>
    <col min="64" max="64" width="1.7109375" style="1" customWidth="1"/>
    <col min="65" max="65" width="8.28515625" style="1" customWidth="1"/>
    <col min="66" max="66" width="1.7109375" style="1" customWidth="1"/>
    <col min="67" max="67" width="11.85546875" style="1" customWidth="1"/>
    <col min="68" max="68" width="1.7109375" style="19" customWidth="1"/>
    <col min="69" max="69" width="13.28515625" style="19" customWidth="1"/>
    <col min="70" max="70" width="1.7109375" style="19" customWidth="1"/>
    <col min="71" max="71" width="11.85546875" style="19" customWidth="1"/>
    <col min="72" max="72" width="1.7109375" style="19" customWidth="1"/>
    <col min="73" max="73" width="11.85546875" style="19" customWidth="1"/>
    <col min="74" max="74" width="1.7109375" style="19" customWidth="1"/>
    <col min="75" max="75" width="11.85546875" style="19" customWidth="1"/>
    <col min="76" max="76" width="1.7109375" style="19" customWidth="1"/>
    <col min="77" max="77" width="11.85546875" style="19" customWidth="1"/>
    <col min="78" max="78" width="1.7109375" style="19" customWidth="1"/>
    <col min="79" max="79" width="11.85546875" style="19" customWidth="1"/>
    <col min="80" max="80" width="1.7109375" style="19" customWidth="1"/>
    <col min="81" max="81" width="11.85546875" style="19" customWidth="1"/>
    <col min="82" max="82" width="1.7109375" style="19" customWidth="1"/>
    <col min="83" max="83" width="11.85546875" style="19" customWidth="1"/>
    <col min="84" max="89" width="9.140625" style="19"/>
    <col min="90" max="90" width="1.7109375" style="19" customWidth="1"/>
    <col min="91" max="91" width="9.140625" style="19"/>
    <col min="92" max="92" width="1.7109375" style="19" customWidth="1"/>
    <col min="93" max="93" width="9.140625" style="19"/>
    <col min="94" max="94" width="1.7109375" style="19" customWidth="1"/>
    <col min="95" max="95" width="9.140625" style="19"/>
    <col min="96" max="96" width="1.7109375" style="19" customWidth="1"/>
    <col min="97" max="97" width="9.140625" style="19"/>
    <col min="98" max="98" width="1.7109375" style="19" customWidth="1"/>
    <col min="99" max="110" width="9.140625" style="19"/>
    <col min="111" max="16384" width="9.140625" style="11"/>
  </cols>
  <sheetData>
    <row r="1" spans="1:110" s="407" customFormat="1" ht="14.25" x14ac:dyDescent="0.2">
      <c r="A1" s="309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  <c r="AH1" s="408"/>
      <c r="AI1" s="408"/>
      <c r="AJ1" s="408"/>
      <c r="AK1" s="408"/>
      <c r="AL1" s="408"/>
      <c r="AM1" s="408"/>
      <c r="AN1" s="408"/>
      <c r="AO1" s="408"/>
      <c r="AP1" s="408"/>
      <c r="AQ1" s="408"/>
      <c r="AR1" s="408"/>
      <c r="AS1" s="408"/>
      <c r="AT1" s="408"/>
      <c r="AU1" s="408"/>
      <c r="AV1" s="408"/>
      <c r="AW1" s="408"/>
      <c r="AX1" s="408"/>
      <c r="AY1" s="408"/>
      <c r="AZ1" s="408"/>
      <c r="BA1" s="408"/>
      <c r="BB1" s="408"/>
      <c r="BC1" s="408"/>
      <c r="BD1" s="408"/>
      <c r="BE1" s="360"/>
      <c r="BF1" s="409"/>
      <c r="BG1" s="311"/>
      <c r="BH1" s="409"/>
      <c r="BI1" s="360"/>
      <c r="BJ1" s="360"/>
      <c r="BK1" s="360"/>
      <c r="BL1" s="360"/>
      <c r="BM1" s="360"/>
      <c r="BN1" s="360"/>
      <c r="BO1" s="360"/>
      <c r="BP1" s="409"/>
      <c r="BQ1" s="409"/>
      <c r="BR1" s="409"/>
      <c r="BS1" s="409"/>
      <c r="BT1" s="409"/>
      <c r="BU1" s="409"/>
      <c r="BV1" s="409"/>
      <c r="BW1" s="409"/>
      <c r="BX1" s="409"/>
      <c r="BY1" s="409"/>
      <c r="BZ1" s="409"/>
      <c r="CA1" s="409"/>
      <c r="CB1" s="409"/>
      <c r="CC1" s="409"/>
      <c r="CD1" s="409"/>
      <c r="CE1" s="409"/>
      <c r="CF1" s="409"/>
      <c r="CG1" s="409"/>
      <c r="CH1" s="409"/>
      <c r="CI1" s="409"/>
      <c r="CJ1" s="409"/>
      <c r="CK1" s="409"/>
      <c r="CL1" s="409"/>
      <c r="CM1" s="409"/>
      <c r="CN1" s="409"/>
      <c r="CO1" s="409"/>
      <c r="CP1" s="409"/>
      <c r="CQ1" s="409"/>
      <c r="CR1" s="409"/>
      <c r="CS1" s="409"/>
      <c r="CT1" s="409"/>
      <c r="CU1" s="409"/>
      <c r="CV1" s="409"/>
      <c r="CW1" s="409"/>
      <c r="CX1" s="409"/>
      <c r="CY1" s="409"/>
      <c r="CZ1" s="409"/>
      <c r="DA1" s="409"/>
      <c r="DB1" s="409"/>
      <c r="DC1" s="409"/>
      <c r="DD1" s="409"/>
      <c r="DE1" s="409"/>
      <c r="DF1" s="409"/>
    </row>
    <row r="2" spans="1:110" s="407" customFormat="1" ht="15" x14ac:dyDescent="0.25">
      <c r="A2" s="309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  <c r="AQ2" s="408"/>
      <c r="AR2" s="408"/>
      <c r="AS2" s="408"/>
      <c r="AT2" s="408"/>
      <c r="AU2" s="408"/>
      <c r="AV2" s="408"/>
      <c r="AW2" s="408"/>
      <c r="AX2" s="408"/>
      <c r="AY2" s="408"/>
      <c r="AZ2" s="408"/>
      <c r="BA2" s="408"/>
      <c r="BB2" s="408"/>
      <c r="BC2" s="408"/>
      <c r="BD2" s="408"/>
      <c r="BE2" s="360"/>
      <c r="BF2" s="373"/>
      <c r="BG2" s="311"/>
      <c r="BH2" s="373"/>
      <c r="BI2" s="360"/>
      <c r="BJ2" s="360"/>
      <c r="BK2" s="360"/>
      <c r="BL2" s="360"/>
      <c r="BM2" s="360"/>
      <c r="BN2" s="360"/>
      <c r="BO2" s="360"/>
      <c r="BP2" s="409"/>
      <c r="BQ2" s="409"/>
      <c r="BR2" s="409"/>
      <c r="BS2" s="409"/>
      <c r="BT2" s="409"/>
      <c r="BU2" s="409"/>
      <c r="BV2" s="409"/>
      <c r="BW2" s="409"/>
      <c r="BX2" s="409"/>
      <c r="BY2" s="409"/>
      <c r="BZ2" s="409"/>
      <c r="CA2" s="409"/>
      <c r="CB2" s="409"/>
      <c r="CC2" s="409"/>
      <c r="CD2" s="409"/>
      <c r="CE2" s="409"/>
      <c r="CF2" s="409"/>
      <c r="CG2" s="409"/>
      <c r="CH2" s="409"/>
      <c r="CI2" s="409"/>
      <c r="CJ2" s="409"/>
      <c r="CK2" s="409"/>
      <c r="CL2" s="409"/>
      <c r="CM2" s="409"/>
      <c r="CN2" s="409"/>
      <c r="CO2" s="409"/>
      <c r="CP2" s="409"/>
      <c r="CQ2" s="409"/>
      <c r="CR2" s="409"/>
      <c r="CS2" s="409"/>
      <c r="CT2" s="409"/>
      <c r="CU2" s="409"/>
      <c r="CV2" s="409"/>
      <c r="CW2" s="409"/>
      <c r="CX2" s="409"/>
      <c r="CY2" s="409"/>
      <c r="CZ2" s="409"/>
      <c r="DA2" s="409"/>
      <c r="DB2" s="409"/>
      <c r="DC2" s="409"/>
      <c r="DD2" s="409"/>
      <c r="DE2" s="409"/>
      <c r="DF2" s="409"/>
    </row>
    <row r="3" spans="1:110" s="407" customFormat="1" ht="15" x14ac:dyDescent="0.25">
      <c r="A3" s="309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  <c r="AN3" s="408"/>
      <c r="AO3" s="408"/>
      <c r="AP3" s="408"/>
      <c r="AQ3" s="408"/>
      <c r="AR3" s="408"/>
      <c r="AS3" s="408"/>
      <c r="AT3" s="408"/>
      <c r="AU3" s="408"/>
      <c r="AV3" s="408"/>
      <c r="AW3" s="408"/>
      <c r="AX3" s="408"/>
      <c r="AY3" s="408"/>
      <c r="AZ3" s="408"/>
      <c r="BA3" s="408"/>
      <c r="BB3" s="408"/>
      <c r="BC3" s="408"/>
      <c r="BD3" s="408"/>
      <c r="BE3" s="360"/>
      <c r="BF3" s="373"/>
      <c r="BG3" s="311"/>
      <c r="BH3" s="373"/>
      <c r="BI3" s="360"/>
      <c r="BJ3" s="360"/>
      <c r="BK3" s="360"/>
      <c r="BL3" s="360"/>
      <c r="BM3" s="360"/>
      <c r="BN3" s="360"/>
      <c r="BO3" s="360"/>
      <c r="BP3" s="409"/>
      <c r="BQ3" s="409"/>
      <c r="BR3" s="409"/>
      <c r="BS3" s="409"/>
      <c r="BT3" s="409"/>
      <c r="BU3" s="409"/>
      <c r="BV3" s="409"/>
      <c r="BW3" s="409"/>
      <c r="BX3" s="409"/>
      <c r="BY3" s="409"/>
      <c r="BZ3" s="409"/>
      <c r="CA3" s="409"/>
      <c r="CB3" s="409"/>
      <c r="CC3" s="409"/>
      <c r="CD3" s="409"/>
      <c r="CE3" s="409"/>
      <c r="CF3" s="409"/>
      <c r="CG3" s="409"/>
      <c r="CH3" s="409"/>
      <c r="CI3" s="409"/>
      <c r="CJ3" s="409"/>
      <c r="CK3" s="409"/>
      <c r="CL3" s="409"/>
      <c r="CM3" s="409"/>
      <c r="CN3" s="409"/>
      <c r="CO3" s="409"/>
      <c r="CP3" s="409"/>
      <c r="CQ3" s="409"/>
      <c r="CR3" s="409"/>
      <c r="CS3" s="409"/>
      <c r="CT3" s="409"/>
      <c r="CU3" s="409"/>
      <c r="CV3" s="409"/>
      <c r="CW3" s="409"/>
      <c r="CX3" s="409"/>
      <c r="CY3" s="409"/>
      <c r="CZ3" s="409"/>
      <c r="DA3" s="409"/>
      <c r="DB3" s="409"/>
      <c r="DC3" s="409"/>
      <c r="DD3" s="409"/>
      <c r="DE3" s="409"/>
      <c r="DF3" s="409"/>
    </row>
    <row r="4" spans="1:110" s="407" customFormat="1" ht="15" x14ac:dyDescent="0.25">
      <c r="A4" s="309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311"/>
      <c r="S4" s="311"/>
      <c r="T4" s="311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23"/>
      <c r="AI4" s="323"/>
      <c r="AJ4" s="323"/>
      <c r="AK4" s="323"/>
      <c r="AL4" s="310"/>
      <c r="AM4" s="310"/>
      <c r="AN4" s="310"/>
      <c r="AO4" s="310"/>
      <c r="AP4" s="310"/>
      <c r="AQ4" s="310"/>
      <c r="AR4" s="310"/>
      <c r="AS4" s="310"/>
      <c r="AT4" s="323"/>
      <c r="AU4" s="457" t="s">
        <v>414</v>
      </c>
      <c r="AV4" s="457"/>
      <c r="AW4" s="457"/>
      <c r="AX4" s="457"/>
      <c r="AY4" s="457"/>
      <c r="AZ4" s="323"/>
      <c r="BA4" s="323"/>
      <c r="BB4" s="323"/>
      <c r="BC4" s="323"/>
      <c r="BD4" s="323"/>
      <c r="BE4" s="360"/>
      <c r="BF4" s="373"/>
      <c r="BG4" s="311"/>
      <c r="BH4" s="373"/>
      <c r="BI4" s="360"/>
      <c r="BJ4" s="360"/>
      <c r="BK4" s="360"/>
      <c r="BL4" s="360"/>
      <c r="BM4" s="360"/>
      <c r="BN4" s="360"/>
      <c r="BO4" s="360"/>
      <c r="BP4" s="409"/>
      <c r="BQ4" s="409"/>
      <c r="BR4" s="409"/>
      <c r="BS4" s="409"/>
      <c r="BT4" s="409"/>
      <c r="BU4" s="409"/>
      <c r="BV4" s="409"/>
      <c r="BW4" s="409"/>
      <c r="BX4" s="409"/>
      <c r="BY4" s="409"/>
      <c r="BZ4" s="409"/>
      <c r="CA4" s="409"/>
      <c r="CB4" s="409"/>
      <c r="CC4" s="409"/>
      <c r="CD4" s="409"/>
      <c r="CE4" s="409"/>
      <c r="CF4" s="409"/>
      <c r="CG4" s="409"/>
      <c r="CH4" s="409"/>
      <c r="CI4" s="409"/>
      <c r="CJ4" s="409"/>
      <c r="CK4" s="409"/>
      <c r="CL4" s="409"/>
      <c r="CM4" s="409"/>
      <c r="CN4" s="409"/>
      <c r="CO4" s="409"/>
      <c r="CP4" s="409"/>
      <c r="CQ4" s="409"/>
      <c r="CR4" s="409"/>
      <c r="CS4" s="409"/>
      <c r="CT4" s="409"/>
      <c r="CU4" s="409"/>
      <c r="CV4" s="409"/>
      <c r="CW4" s="409"/>
      <c r="CX4" s="409"/>
      <c r="CY4" s="409"/>
      <c r="CZ4" s="409"/>
      <c r="DA4" s="409"/>
      <c r="DB4" s="409"/>
      <c r="DC4" s="409"/>
      <c r="DD4" s="409"/>
      <c r="DE4" s="409"/>
      <c r="DF4" s="409"/>
    </row>
    <row r="5" spans="1:110" s="407" customFormat="1" ht="15.75" thickBot="1" x14ac:dyDescent="0.3">
      <c r="A5" s="309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181</v>
      </c>
      <c r="AJ5" s="464"/>
      <c r="AK5" s="464"/>
      <c r="AL5" s="323"/>
      <c r="AM5" s="464" t="s">
        <v>134</v>
      </c>
      <c r="AN5" s="464"/>
      <c r="AO5" s="464"/>
      <c r="AP5" s="323"/>
      <c r="AQ5" s="464" t="s">
        <v>135</v>
      </c>
      <c r="AR5" s="464"/>
      <c r="AS5" s="464"/>
      <c r="AT5" s="323"/>
      <c r="AU5" s="464" t="s">
        <v>116</v>
      </c>
      <c r="AV5" s="464"/>
      <c r="AW5" s="464"/>
      <c r="AX5" s="464"/>
      <c r="AY5" s="464"/>
      <c r="AZ5" s="323"/>
      <c r="BA5" s="457" t="s">
        <v>196</v>
      </c>
      <c r="BB5" s="457"/>
      <c r="BC5" s="457"/>
      <c r="BD5" s="323"/>
      <c r="BE5" s="360"/>
      <c r="BF5" s="373"/>
      <c r="BG5" s="311"/>
      <c r="BH5" s="373"/>
      <c r="BI5" s="360"/>
      <c r="BJ5" s="360"/>
      <c r="BK5" s="360"/>
      <c r="BL5" s="360"/>
      <c r="BM5" s="360"/>
      <c r="BN5" s="360"/>
      <c r="BO5" s="360"/>
      <c r="BP5" s="409"/>
      <c r="BQ5" s="409"/>
      <c r="BR5" s="409"/>
      <c r="BS5" s="409"/>
      <c r="BT5" s="409"/>
      <c r="BU5" s="409"/>
      <c r="BV5" s="409"/>
      <c r="BW5" s="409"/>
      <c r="BX5" s="409"/>
      <c r="BY5" s="409"/>
      <c r="BZ5" s="409"/>
      <c r="CA5" s="409"/>
      <c r="CB5" s="409"/>
      <c r="CC5" s="409"/>
      <c r="CD5" s="409"/>
      <c r="CE5" s="409"/>
      <c r="CF5" s="409"/>
      <c r="CG5" s="409"/>
      <c r="CH5" s="409"/>
      <c r="CI5" s="409"/>
      <c r="CJ5" s="409"/>
      <c r="CK5" s="409"/>
      <c r="CL5" s="409"/>
      <c r="CM5" s="409"/>
      <c r="CN5" s="409"/>
      <c r="CO5" s="409"/>
      <c r="CP5" s="409"/>
      <c r="CQ5" s="409"/>
      <c r="CR5" s="409"/>
      <c r="CS5" s="409"/>
      <c r="CT5" s="409"/>
      <c r="CU5" s="409"/>
      <c r="CV5" s="409"/>
      <c r="CW5" s="409"/>
      <c r="CX5" s="409"/>
      <c r="CY5" s="409"/>
      <c r="CZ5" s="409"/>
      <c r="DA5" s="409"/>
      <c r="DB5" s="409"/>
      <c r="DC5" s="409"/>
      <c r="DD5" s="409"/>
      <c r="DE5" s="409"/>
      <c r="DF5" s="409"/>
    </row>
    <row r="6" spans="1:110" ht="15" x14ac:dyDescent="0.25"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90"/>
      <c r="AI6" s="103"/>
      <c r="AJ6" s="104"/>
      <c r="AK6" s="105"/>
      <c r="AL6" s="290"/>
      <c r="AM6" s="122"/>
      <c r="AN6" s="104"/>
      <c r="AO6" s="105"/>
      <c r="AP6" s="290"/>
      <c r="AQ6" s="122" t="s">
        <v>107</v>
      </c>
      <c r="AR6" s="104"/>
      <c r="AS6" s="105"/>
      <c r="AT6" s="50"/>
      <c r="AU6" s="198"/>
      <c r="AV6" s="170"/>
      <c r="AW6" s="170"/>
      <c r="AX6" s="170"/>
      <c r="AY6" s="171"/>
      <c r="AZ6" s="150"/>
      <c r="BA6" s="172"/>
      <c r="BB6" s="173"/>
      <c r="BC6" s="174"/>
      <c r="BD6" s="150"/>
      <c r="BE6" s="79"/>
      <c r="BF6" s="77"/>
      <c r="BG6" s="81"/>
      <c r="BH6" s="77"/>
      <c r="BI6" s="81"/>
      <c r="BJ6" s="77"/>
      <c r="BK6" s="81"/>
      <c r="BL6" s="77"/>
      <c r="BM6" s="82"/>
    </row>
    <row r="7" spans="1:110" ht="15" x14ac:dyDescent="0.25">
      <c r="A7" s="61" t="s">
        <v>91</v>
      </c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tr">
        <f>+'Lead Sheet '!AI5</f>
        <v>Maureen</v>
      </c>
      <c r="AJ7" s="290"/>
      <c r="AK7" s="107" t="str">
        <f>+'Lead Sheet '!AK5</f>
        <v>Maureen</v>
      </c>
      <c r="AL7" s="290"/>
      <c r="AM7" s="106" t="s">
        <v>404</v>
      </c>
      <c r="AN7" s="290"/>
      <c r="AO7" s="107" t="s">
        <v>406</v>
      </c>
      <c r="AP7" s="290"/>
      <c r="AQ7" s="106" t="s">
        <v>118</v>
      </c>
      <c r="AR7" s="290"/>
      <c r="AS7" s="107" t="s">
        <v>113</v>
      </c>
      <c r="AT7" s="50"/>
      <c r="AU7" s="183" t="s">
        <v>408</v>
      </c>
      <c r="AV7" s="150"/>
      <c r="AW7" s="150" t="s">
        <v>410</v>
      </c>
      <c r="AX7" s="150"/>
      <c r="AY7" s="184" t="s">
        <v>412</v>
      </c>
      <c r="AZ7" s="150"/>
      <c r="BA7" s="155"/>
      <c r="BB7" s="324"/>
      <c r="BC7" s="156"/>
      <c r="BD7" s="150"/>
      <c r="BE7" s="78" t="s">
        <v>24</v>
      </c>
      <c r="BF7" s="76"/>
      <c r="BG7" s="83" t="s">
        <v>24</v>
      </c>
      <c r="BH7" s="76"/>
      <c r="BI7" s="83" t="s">
        <v>24</v>
      </c>
      <c r="BJ7" s="76"/>
      <c r="BK7" s="83" t="s">
        <v>24</v>
      </c>
      <c r="BL7" s="76"/>
      <c r="BM7" s="84" t="s">
        <v>24</v>
      </c>
    </row>
    <row r="8" spans="1:110" ht="12.75" customHeight="1" x14ac:dyDescent="0.2">
      <c r="A8" s="61" t="s">
        <v>92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tr">
        <f>+'Lead Sheet '!AI6</f>
        <v>KERN</v>
      </c>
      <c r="AJ8" s="290"/>
      <c r="AK8" s="107" t="str">
        <f>+'Lead Sheet '!AK6</f>
        <v>LEIDY</v>
      </c>
      <c r="AL8" s="290"/>
      <c r="AM8" s="106" t="s">
        <v>405</v>
      </c>
      <c r="AN8" s="290"/>
      <c r="AO8" s="107" t="s">
        <v>407</v>
      </c>
      <c r="AP8" s="290"/>
      <c r="AQ8" s="106" t="s">
        <v>119</v>
      </c>
      <c r="AR8" s="290"/>
      <c r="AS8" s="107" t="s">
        <v>403</v>
      </c>
      <c r="AT8" s="50"/>
      <c r="AU8" s="183" t="s">
        <v>409</v>
      </c>
      <c r="AV8" s="150"/>
      <c r="AW8" s="150" t="s">
        <v>411</v>
      </c>
      <c r="AX8" s="150"/>
      <c r="AY8" s="184" t="s">
        <v>413</v>
      </c>
      <c r="AZ8" s="150"/>
      <c r="BA8" s="315" t="s">
        <v>106</v>
      </c>
      <c r="BB8" s="143"/>
      <c r="BC8" s="316" t="s">
        <v>107</v>
      </c>
      <c r="BD8" s="150"/>
      <c r="BE8" s="78" t="s">
        <v>83</v>
      </c>
      <c r="BF8" s="76"/>
      <c r="BG8" s="83" t="s">
        <v>84</v>
      </c>
      <c r="BH8" s="76"/>
      <c r="BI8" s="83" t="s">
        <v>85</v>
      </c>
      <c r="BJ8" s="76"/>
      <c r="BK8" s="83" t="s">
        <v>86</v>
      </c>
      <c r="BL8" s="76"/>
      <c r="BM8" s="84" t="s">
        <v>87</v>
      </c>
    </row>
    <row r="9" spans="1:110" ht="14.25" x14ac:dyDescent="0.2"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tr">
        <f>+'Lead Sheet '!AI7</f>
        <v>Republican</v>
      </c>
      <c r="AJ9" s="290"/>
      <c r="AK9" s="107" t="str">
        <f>+'Lead Sheet '!AK7</f>
        <v>Democratic</v>
      </c>
      <c r="AL9" s="290"/>
      <c r="AM9" s="106" t="s">
        <v>93</v>
      </c>
      <c r="AN9" s="290"/>
      <c r="AO9" s="107" t="s">
        <v>99</v>
      </c>
      <c r="AP9" s="290"/>
      <c r="AQ9" s="106" t="s">
        <v>93</v>
      </c>
      <c r="AR9" s="290"/>
      <c r="AS9" s="107" t="s">
        <v>99</v>
      </c>
      <c r="AT9" s="50"/>
      <c r="AU9" s="183"/>
      <c r="AV9" s="150"/>
      <c r="AW9" s="150"/>
      <c r="AX9" s="150"/>
      <c r="AY9" s="184"/>
      <c r="AZ9" s="150"/>
      <c r="BA9" s="296"/>
      <c r="BB9" s="295"/>
      <c r="BC9" s="297"/>
      <c r="BD9" s="150"/>
      <c r="BE9" s="78" t="s">
        <v>89</v>
      </c>
      <c r="BF9" s="76"/>
      <c r="BG9" s="83" t="s">
        <v>90</v>
      </c>
      <c r="BH9" s="76"/>
      <c r="BI9" s="83" t="s">
        <v>89</v>
      </c>
      <c r="BJ9" s="76"/>
      <c r="BK9" s="83" t="s">
        <v>89</v>
      </c>
      <c r="BL9" s="76"/>
      <c r="BM9" s="84" t="s">
        <v>89</v>
      </c>
    </row>
    <row r="10" spans="1:110" ht="15" thickBot="1" x14ac:dyDescent="0.25"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90"/>
      <c r="AM10" s="120"/>
      <c r="AN10" s="289"/>
      <c r="AO10" s="121"/>
      <c r="AP10" s="290"/>
      <c r="AQ10" s="120"/>
      <c r="AR10" s="289"/>
      <c r="AS10" s="121"/>
      <c r="AT10" s="50"/>
      <c r="AU10" s="199"/>
      <c r="AV10" s="180"/>
      <c r="AW10" s="180"/>
      <c r="AX10" s="180"/>
      <c r="AY10" s="200"/>
      <c r="AZ10" s="150"/>
      <c r="BA10" s="146"/>
      <c r="BB10" s="144"/>
      <c r="BC10" s="145"/>
      <c r="BD10" s="150"/>
      <c r="BE10" s="80"/>
      <c r="BF10" s="85"/>
      <c r="BG10" s="85"/>
      <c r="BH10" s="85"/>
      <c r="BI10" s="85"/>
      <c r="BJ10" s="85"/>
      <c r="BK10" s="85"/>
      <c r="BL10" s="85"/>
      <c r="BM10" s="86"/>
    </row>
    <row r="11" spans="1:110" x14ac:dyDescent="0.2">
      <c r="A11" s="9" t="s">
        <v>27</v>
      </c>
      <c r="C11" s="18">
        <f>102+97</f>
        <v>199</v>
      </c>
      <c r="D11" s="19"/>
      <c r="E11" s="18">
        <f>82+77</f>
        <v>159</v>
      </c>
      <c r="F11" s="19"/>
      <c r="G11" s="18">
        <v>4</v>
      </c>
      <c r="H11" s="19"/>
      <c r="I11" s="18">
        <v>0</v>
      </c>
      <c r="J11" s="19"/>
      <c r="K11" s="18">
        <v>2</v>
      </c>
      <c r="L11" s="19"/>
      <c r="M11" s="18">
        <v>2</v>
      </c>
      <c r="N11" s="19"/>
      <c r="O11" s="18">
        <v>3</v>
      </c>
      <c r="P11" s="19"/>
      <c r="Q11" s="18">
        <v>0</v>
      </c>
      <c r="R11" s="19"/>
      <c r="S11" s="18">
        <f>85+78</f>
        <v>163</v>
      </c>
      <c r="T11" s="19"/>
      <c r="U11" s="18">
        <f>104+97</f>
        <v>201</v>
      </c>
      <c r="V11" s="19"/>
      <c r="W11" s="18">
        <v>2</v>
      </c>
      <c r="X11" s="19"/>
      <c r="Y11" s="18">
        <v>2</v>
      </c>
      <c r="Z11" s="19"/>
      <c r="AA11" s="18">
        <v>3</v>
      </c>
      <c r="AB11" s="19"/>
      <c r="AC11" s="18">
        <v>0</v>
      </c>
      <c r="AD11" s="19"/>
      <c r="AE11" s="18">
        <f>101+103</f>
        <v>204</v>
      </c>
      <c r="AF11" s="19"/>
      <c r="AG11" s="18">
        <f>84+77</f>
        <v>161</v>
      </c>
      <c r="AH11" s="19"/>
      <c r="AI11" s="18">
        <f>101+100</f>
        <v>201</v>
      </c>
      <c r="AJ11" s="19"/>
      <c r="AK11" s="18">
        <f>81+79</f>
        <v>160</v>
      </c>
      <c r="AL11" s="19"/>
      <c r="AM11" s="18">
        <f>94+91</f>
        <v>185</v>
      </c>
      <c r="AN11" s="19"/>
      <c r="AO11" s="18">
        <f>97+91</f>
        <v>188</v>
      </c>
      <c r="AP11" s="19"/>
      <c r="AQ11" s="18"/>
      <c r="AR11" s="19"/>
      <c r="AS11" s="18"/>
      <c r="AT11" s="19"/>
      <c r="AU11" s="18">
        <f>100+91</f>
        <v>191</v>
      </c>
      <c r="AV11" s="19"/>
      <c r="AW11" s="18">
        <f>93+79</f>
        <v>172</v>
      </c>
      <c r="AX11" s="19"/>
      <c r="AY11" s="18">
        <f>80+71</f>
        <v>151</v>
      </c>
      <c r="AZ11" s="19"/>
      <c r="BA11" s="18">
        <f>74+68</f>
        <v>142</v>
      </c>
      <c r="BB11" s="19"/>
      <c r="BC11" s="18">
        <f>102+98</f>
        <v>200</v>
      </c>
      <c r="BD11" s="19"/>
      <c r="BE11" s="18">
        <f>193+184</f>
        <v>377</v>
      </c>
      <c r="BG11" s="18">
        <v>238</v>
      </c>
      <c r="BI11" s="18">
        <v>23</v>
      </c>
      <c r="BJ11" s="19"/>
      <c r="BK11" s="18"/>
      <c r="BL11" s="19"/>
      <c r="BM11" s="18">
        <f t="shared" ref="BM11:BM18" si="0">+SUM(BE11:BK11)</f>
        <v>638</v>
      </c>
    </row>
    <row r="12" spans="1:110" x14ac:dyDescent="0.2">
      <c r="A12" s="9" t="s">
        <v>28</v>
      </c>
      <c r="C12" s="16">
        <f>111+99</f>
        <v>210</v>
      </c>
      <c r="D12" s="19"/>
      <c r="E12" s="16">
        <f>70+63</f>
        <v>133</v>
      </c>
      <c r="F12" s="19"/>
      <c r="G12" s="16">
        <f>2+3</f>
        <v>5</v>
      </c>
      <c r="H12" s="19"/>
      <c r="I12" s="16">
        <v>0</v>
      </c>
      <c r="J12" s="19"/>
      <c r="K12" s="16">
        <f>1+1</f>
        <v>2</v>
      </c>
      <c r="L12" s="19"/>
      <c r="M12" s="16">
        <v>2</v>
      </c>
      <c r="N12" s="19"/>
      <c r="O12" s="16">
        <v>1</v>
      </c>
      <c r="P12" s="19"/>
      <c r="Q12" s="16">
        <v>0</v>
      </c>
      <c r="R12" s="19"/>
      <c r="S12" s="16">
        <f>90+81</f>
        <v>171</v>
      </c>
      <c r="T12" s="19"/>
      <c r="U12" s="16">
        <f>93+81</f>
        <v>174</v>
      </c>
      <c r="V12" s="19"/>
      <c r="W12" s="16">
        <v>0</v>
      </c>
      <c r="X12" s="19"/>
      <c r="Y12" s="16">
        <v>0</v>
      </c>
      <c r="Z12" s="19"/>
      <c r="AA12" s="16">
        <f>1+1</f>
        <v>2</v>
      </c>
      <c r="AB12" s="19"/>
      <c r="AC12" s="16">
        <v>0</v>
      </c>
      <c r="AD12" s="19"/>
      <c r="AE12" s="16">
        <f>112+100</f>
        <v>212</v>
      </c>
      <c r="AF12" s="19"/>
      <c r="AG12" s="16">
        <f>68+61</f>
        <v>129</v>
      </c>
      <c r="AH12" s="19"/>
      <c r="AI12" s="16">
        <f>109+100</f>
        <v>209</v>
      </c>
      <c r="AJ12" s="35" t="s">
        <v>108</v>
      </c>
      <c r="AK12" s="16">
        <f>73+64</f>
        <v>137</v>
      </c>
      <c r="AL12" s="19"/>
      <c r="AM12" s="16">
        <f>102+90</f>
        <v>192</v>
      </c>
      <c r="AN12" s="19"/>
      <c r="AO12" s="16">
        <f>82+72</f>
        <v>154</v>
      </c>
      <c r="AP12" s="19"/>
      <c r="AQ12" s="16"/>
      <c r="AR12" s="19"/>
      <c r="AS12" s="16"/>
      <c r="AT12" s="19"/>
      <c r="AU12" s="16">
        <f>94+75</f>
        <v>169</v>
      </c>
      <c r="AV12" s="19"/>
      <c r="AW12" s="16">
        <f>101+89</f>
        <v>190</v>
      </c>
      <c r="AX12" s="19"/>
      <c r="AY12" s="16">
        <f>87+73</f>
        <v>160</v>
      </c>
      <c r="AZ12" s="19"/>
      <c r="BA12" s="16">
        <f>74+60</f>
        <v>134</v>
      </c>
      <c r="BB12" s="19"/>
      <c r="BC12" s="16">
        <f>98+89</f>
        <v>187</v>
      </c>
      <c r="BD12" s="19"/>
      <c r="BE12" s="16">
        <f>189+169</f>
        <v>358</v>
      </c>
      <c r="BG12" s="16"/>
      <c r="BI12" s="16"/>
      <c r="BJ12" s="19"/>
      <c r="BK12" s="16"/>
      <c r="BL12" s="19"/>
      <c r="BM12" s="18">
        <f t="shared" si="0"/>
        <v>358</v>
      </c>
    </row>
    <row r="13" spans="1:110" x14ac:dyDescent="0.2">
      <c r="A13" s="9" t="s">
        <v>29</v>
      </c>
      <c r="C13" s="16">
        <f>118+82</f>
        <v>200</v>
      </c>
      <c r="D13" s="35"/>
      <c r="E13" s="16">
        <f>90+72</f>
        <v>162</v>
      </c>
      <c r="F13" s="19"/>
      <c r="G13" s="16">
        <f>3+3</f>
        <v>6</v>
      </c>
      <c r="H13" s="19"/>
      <c r="I13" s="16">
        <v>1</v>
      </c>
      <c r="J13" s="19"/>
      <c r="K13" s="16">
        <f>1+2</f>
        <v>3</v>
      </c>
      <c r="L13" s="19"/>
      <c r="M13" s="16">
        <f>3+4</f>
        <v>7</v>
      </c>
      <c r="N13" s="19"/>
      <c r="O13" s="16">
        <v>2</v>
      </c>
      <c r="P13" s="19"/>
      <c r="Q13" s="16">
        <v>0</v>
      </c>
      <c r="R13" s="19"/>
      <c r="S13" s="16">
        <f>94+65</f>
        <v>159</v>
      </c>
      <c r="T13" s="19"/>
      <c r="U13" s="16">
        <f>112+92</f>
        <v>204</v>
      </c>
      <c r="V13" s="19"/>
      <c r="W13" s="16">
        <f>2+1</f>
        <v>3</v>
      </c>
      <c r="X13" s="19"/>
      <c r="Y13" s="16">
        <v>0</v>
      </c>
      <c r="Z13" s="19"/>
      <c r="AA13" s="16">
        <f>6+5</f>
        <v>11</v>
      </c>
      <c r="AB13" s="19"/>
      <c r="AC13" s="16">
        <f>2+1</f>
        <v>3</v>
      </c>
      <c r="AD13" s="19"/>
      <c r="AE13" s="16">
        <f>121+82</f>
        <v>203</v>
      </c>
      <c r="AF13" s="19"/>
      <c r="AG13" s="16">
        <f>93+78</f>
        <v>171</v>
      </c>
      <c r="AH13" s="19"/>
      <c r="AI13" s="16">
        <f>119+85</f>
        <v>204</v>
      </c>
      <c r="AJ13" s="19"/>
      <c r="AK13" s="16">
        <f>92+74</f>
        <v>166</v>
      </c>
      <c r="AL13" s="19"/>
      <c r="AM13" s="16">
        <f>113+72</f>
        <v>185</v>
      </c>
      <c r="AN13" s="19"/>
      <c r="AO13" s="16">
        <f>103+91</f>
        <v>194</v>
      </c>
      <c r="AP13" s="19"/>
      <c r="AQ13" s="16"/>
      <c r="AR13" s="19"/>
      <c r="AS13" s="16"/>
      <c r="AT13" s="19"/>
      <c r="AU13" s="16">
        <f>112+88</f>
        <v>200</v>
      </c>
      <c r="AV13" s="19"/>
      <c r="AW13" s="16">
        <f>111+95</f>
        <v>206</v>
      </c>
      <c r="AX13" s="19"/>
      <c r="AY13" s="16">
        <f>96+78</f>
        <v>174</v>
      </c>
      <c r="AZ13" s="19"/>
      <c r="BA13" s="16">
        <f>86+76</f>
        <v>162</v>
      </c>
      <c r="BB13" s="19"/>
      <c r="BC13" s="16">
        <f>117+72</f>
        <v>189</v>
      </c>
      <c r="BD13" s="19"/>
      <c r="BE13" s="16">
        <f>224+168</f>
        <v>392</v>
      </c>
      <c r="BG13" s="16"/>
      <c r="BI13" s="16"/>
      <c r="BJ13" s="19"/>
      <c r="BK13" s="16"/>
      <c r="BL13" s="19"/>
      <c r="BM13" s="18">
        <f t="shared" si="0"/>
        <v>392</v>
      </c>
    </row>
    <row r="14" spans="1:110" x14ac:dyDescent="0.2">
      <c r="A14" s="9" t="s">
        <v>33</v>
      </c>
      <c r="C14" s="16">
        <f>97+91</f>
        <v>188</v>
      </c>
      <c r="D14" s="19"/>
      <c r="E14" s="16">
        <f>82+68</f>
        <v>150</v>
      </c>
      <c r="F14" s="19"/>
      <c r="G14" s="16">
        <f>4+2</f>
        <v>6</v>
      </c>
      <c r="H14" s="19"/>
      <c r="I14" s="16">
        <v>2</v>
      </c>
      <c r="J14" s="19"/>
      <c r="K14" s="16">
        <v>0</v>
      </c>
      <c r="L14" s="19"/>
      <c r="M14" s="16">
        <f>2+1</f>
        <v>3</v>
      </c>
      <c r="N14" s="19"/>
      <c r="O14" s="16">
        <f>1+1</f>
        <v>2</v>
      </c>
      <c r="P14" s="19"/>
      <c r="Q14" s="16">
        <v>0</v>
      </c>
      <c r="R14" s="19"/>
      <c r="S14" s="16">
        <f>84+76</f>
        <v>160</v>
      </c>
      <c r="T14" s="19"/>
      <c r="U14" s="16">
        <f>96+83</f>
        <v>179</v>
      </c>
      <c r="V14" s="19"/>
      <c r="W14" s="16">
        <v>1</v>
      </c>
      <c r="X14" s="19"/>
      <c r="Y14" s="16">
        <v>2</v>
      </c>
      <c r="Z14" s="19"/>
      <c r="AA14" s="16">
        <f>1+3</f>
        <v>4</v>
      </c>
      <c r="AB14" s="19"/>
      <c r="AC14" s="16">
        <f>2+1</f>
        <v>3</v>
      </c>
      <c r="AD14" s="19"/>
      <c r="AE14" s="16">
        <f>107+103</f>
        <v>210</v>
      </c>
      <c r="AF14" s="19"/>
      <c r="AG14" s="16">
        <f>79+58</f>
        <v>137</v>
      </c>
      <c r="AH14" s="19"/>
      <c r="AI14" s="16">
        <f>101+99</f>
        <v>200</v>
      </c>
      <c r="AJ14" s="19"/>
      <c r="AK14" s="16">
        <f>82+62</f>
        <v>144</v>
      </c>
      <c r="AL14" s="19"/>
      <c r="AM14" s="16">
        <f>83+83</f>
        <v>166</v>
      </c>
      <c r="AN14" s="19"/>
      <c r="AO14" s="16">
        <f>101+77</f>
        <v>178</v>
      </c>
      <c r="AP14" s="19"/>
      <c r="AQ14" s="16"/>
      <c r="AR14" s="19"/>
      <c r="AS14" s="16"/>
      <c r="AT14" s="19"/>
      <c r="AU14" s="16">
        <f>82+80</f>
        <v>162</v>
      </c>
      <c r="AV14" s="19"/>
      <c r="AW14" s="16">
        <f>83+94</f>
        <v>177</v>
      </c>
      <c r="AX14" s="19"/>
      <c r="AY14" s="16">
        <f>73+74</f>
        <v>147</v>
      </c>
      <c r="AZ14" s="19"/>
      <c r="BA14" s="16">
        <f>69+61</f>
        <v>130</v>
      </c>
      <c r="BB14" s="19"/>
      <c r="BC14" s="16">
        <f>106+84</f>
        <v>190</v>
      </c>
      <c r="BD14" s="19"/>
      <c r="BE14" s="16">
        <f>192+166</f>
        <v>358</v>
      </c>
      <c r="BG14" s="16"/>
      <c r="BI14" s="16"/>
      <c r="BJ14" s="19"/>
      <c r="BK14" s="16"/>
      <c r="BL14" s="19"/>
      <c r="BM14" s="18">
        <f t="shared" si="0"/>
        <v>358</v>
      </c>
    </row>
    <row r="15" spans="1:110" x14ac:dyDescent="0.2">
      <c r="A15" s="9" t="s">
        <v>30</v>
      </c>
      <c r="C15" s="16">
        <f>106+76</f>
        <v>182</v>
      </c>
      <c r="D15" s="19"/>
      <c r="E15" s="16">
        <f>80+71</f>
        <v>151</v>
      </c>
      <c r="F15" s="19"/>
      <c r="G15" s="16">
        <v>0</v>
      </c>
      <c r="H15" s="19"/>
      <c r="I15" s="16">
        <v>1</v>
      </c>
      <c r="J15" s="19"/>
      <c r="K15" s="16">
        <f>2+1</f>
        <v>3</v>
      </c>
      <c r="L15" s="19"/>
      <c r="M15" s="16">
        <f>1+2</f>
        <v>3</v>
      </c>
      <c r="N15" s="19"/>
      <c r="O15" s="16">
        <v>1</v>
      </c>
      <c r="P15" s="19"/>
      <c r="Q15" s="16">
        <v>0</v>
      </c>
      <c r="R15" s="19"/>
      <c r="S15" s="16">
        <f>88+66</f>
        <v>154</v>
      </c>
      <c r="T15" s="19"/>
      <c r="U15" s="16">
        <f>103+81</f>
        <v>184</v>
      </c>
      <c r="V15" s="19"/>
      <c r="W15" s="16">
        <v>1</v>
      </c>
      <c r="X15" s="19"/>
      <c r="Y15" s="16">
        <v>0</v>
      </c>
      <c r="Z15" s="19"/>
      <c r="AA15" s="16">
        <f>1+1</f>
        <v>2</v>
      </c>
      <c r="AB15" s="19"/>
      <c r="AC15" s="16">
        <v>1</v>
      </c>
      <c r="AD15" s="19"/>
      <c r="AE15" s="16">
        <f>117+84</f>
        <v>201</v>
      </c>
      <c r="AF15" s="19"/>
      <c r="AG15" s="16">
        <f>76+65</f>
        <v>141</v>
      </c>
      <c r="AH15" s="19"/>
      <c r="AI15" s="16">
        <f>107+82</f>
        <v>189</v>
      </c>
      <c r="AJ15" s="19"/>
      <c r="AK15" s="16">
        <f>84+65</f>
        <v>149</v>
      </c>
      <c r="AL15" s="19"/>
      <c r="AM15" s="16"/>
      <c r="AN15" s="19"/>
      <c r="AO15" s="16"/>
      <c r="AP15" s="19"/>
      <c r="AQ15" s="16"/>
      <c r="AR15" s="19"/>
      <c r="AS15" s="16">
        <f>108+88</f>
        <v>196</v>
      </c>
      <c r="AT15" s="19"/>
      <c r="AU15" s="16">
        <f>110+84</f>
        <v>194</v>
      </c>
      <c r="AV15" s="19"/>
      <c r="AW15" s="16">
        <f>108+83</f>
        <v>191</v>
      </c>
      <c r="AX15" s="19"/>
      <c r="AY15" s="16">
        <f>93+79</f>
        <v>172</v>
      </c>
      <c r="AZ15" s="19"/>
      <c r="BA15" s="16">
        <f>66+57</f>
        <v>123</v>
      </c>
      <c r="BB15" s="19"/>
      <c r="BC15" s="16">
        <f>107+80</f>
        <v>187</v>
      </c>
      <c r="BD15" s="19"/>
      <c r="BE15" s="16">
        <f>196+153</f>
        <v>349</v>
      </c>
      <c r="BG15" s="16">
        <v>215</v>
      </c>
      <c r="BI15" s="16">
        <v>29</v>
      </c>
      <c r="BJ15" s="19"/>
      <c r="BK15" s="16"/>
      <c r="BL15" s="19"/>
      <c r="BM15" s="18">
        <f t="shared" si="0"/>
        <v>593</v>
      </c>
    </row>
    <row r="16" spans="1:110" s="10" customFormat="1" x14ac:dyDescent="0.2">
      <c r="A16" s="9" t="s">
        <v>31</v>
      </c>
      <c r="C16" s="16">
        <f>107+117</f>
        <v>224</v>
      </c>
      <c r="D16" s="19"/>
      <c r="E16" s="16">
        <f>108+93</f>
        <v>201</v>
      </c>
      <c r="F16" s="19"/>
      <c r="G16" s="16">
        <f>1+3</f>
        <v>4</v>
      </c>
      <c r="H16" s="19"/>
      <c r="I16" s="16">
        <f>1+2</f>
        <v>3</v>
      </c>
      <c r="J16" s="19"/>
      <c r="K16" s="16">
        <f>1+3</f>
        <v>4</v>
      </c>
      <c r="L16" s="19"/>
      <c r="M16" s="16">
        <f>2+2</f>
        <v>4</v>
      </c>
      <c r="N16" s="19"/>
      <c r="O16" s="16">
        <v>0</v>
      </c>
      <c r="P16" s="19"/>
      <c r="Q16" s="16">
        <v>1</v>
      </c>
      <c r="R16" s="19"/>
      <c r="S16" s="16">
        <f>89+92</f>
        <v>181</v>
      </c>
      <c r="T16" s="19"/>
      <c r="U16" s="16">
        <f>131+124</f>
        <v>255</v>
      </c>
      <c r="V16" s="19"/>
      <c r="W16" s="16">
        <v>0</v>
      </c>
      <c r="X16" s="19"/>
      <c r="Y16" s="16">
        <v>0</v>
      </c>
      <c r="Z16" s="19"/>
      <c r="AA16" s="16">
        <v>4</v>
      </c>
      <c r="AB16" s="19"/>
      <c r="AC16" s="16">
        <f>2+1</f>
        <v>3</v>
      </c>
      <c r="AD16" s="19"/>
      <c r="AE16" s="16">
        <f>116+127</f>
        <v>243</v>
      </c>
      <c r="AF16" s="19"/>
      <c r="AG16" s="16">
        <f>100+92</f>
        <v>192</v>
      </c>
      <c r="AH16" s="19"/>
      <c r="AI16" s="16">
        <f>111+121</f>
        <v>232</v>
      </c>
      <c r="AJ16" s="19"/>
      <c r="AK16" s="16">
        <f>107+97</f>
        <v>204</v>
      </c>
      <c r="AL16" s="19"/>
      <c r="AM16" s="16"/>
      <c r="AN16" s="19"/>
      <c r="AO16" s="16"/>
      <c r="AP16" s="19"/>
      <c r="AQ16" s="16"/>
      <c r="AR16" s="19"/>
      <c r="AS16" s="16">
        <f>134+130</f>
        <v>264</v>
      </c>
      <c r="AT16" s="19"/>
      <c r="AU16" s="60">
        <f>125+122</f>
        <v>247</v>
      </c>
      <c r="AV16" s="19"/>
      <c r="AW16" s="60">
        <f>133+117</f>
        <v>250</v>
      </c>
      <c r="AX16" s="19"/>
      <c r="AY16" s="60">
        <f>119+98</f>
        <v>217</v>
      </c>
      <c r="AZ16" s="35"/>
      <c r="BA16" s="60">
        <f>87+86</f>
        <v>173</v>
      </c>
      <c r="BB16" s="19"/>
      <c r="BC16" s="16">
        <f>110+117</f>
        <v>227</v>
      </c>
      <c r="BD16" s="19"/>
      <c r="BE16" s="16">
        <f>224+225</f>
        <v>449</v>
      </c>
      <c r="BF16" s="20"/>
      <c r="BG16" s="16"/>
      <c r="BH16" s="20"/>
      <c r="BI16" s="16"/>
      <c r="BJ16" s="20"/>
      <c r="BK16" s="16"/>
      <c r="BL16" s="20"/>
      <c r="BM16" s="18">
        <f t="shared" si="0"/>
        <v>449</v>
      </c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</row>
    <row r="17" spans="1:110" x14ac:dyDescent="0.2">
      <c r="A17" s="9" t="s">
        <v>32</v>
      </c>
      <c r="C17" s="16">
        <f>169+167</f>
        <v>336</v>
      </c>
      <c r="D17" s="19"/>
      <c r="E17" s="16">
        <f>88+85</f>
        <v>173</v>
      </c>
      <c r="F17" s="19"/>
      <c r="G17" s="16">
        <f>4+3</f>
        <v>7</v>
      </c>
      <c r="H17" s="19"/>
      <c r="I17" s="16">
        <v>0</v>
      </c>
      <c r="J17" s="19"/>
      <c r="K17" s="16">
        <v>2</v>
      </c>
      <c r="L17" s="19"/>
      <c r="M17" s="16">
        <v>5</v>
      </c>
      <c r="N17" s="19"/>
      <c r="O17" s="16">
        <v>0</v>
      </c>
      <c r="P17" s="19"/>
      <c r="Q17" s="16">
        <v>1</v>
      </c>
      <c r="R17" s="19"/>
      <c r="S17" s="16">
        <f>135+136</f>
        <v>271</v>
      </c>
      <c r="T17" s="19"/>
      <c r="U17" s="16">
        <f>129+119</f>
        <v>248</v>
      </c>
      <c r="V17" s="19"/>
      <c r="W17" s="16">
        <f>1+2</f>
        <v>3</v>
      </c>
      <c r="X17" s="19"/>
      <c r="Y17" s="16">
        <v>3</v>
      </c>
      <c r="Z17" s="19"/>
      <c r="AA17" s="16">
        <f>9+2</f>
        <v>11</v>
      </c>
      <c r="AB17" s="19"/>
      <c r="AC17" s="16">
        <v>0</v>
      </c>
      <c r="AD17" s="19"/>
      <c r="AE17" s="16">
        <f>177+177</f>
        <v>354</v>
      </c>
      <c r="AF17" s="19"/>
      <c r="AG17" s="16">
        <f>91+78</f>
        <v>169</v>
      </c>
      <c r="AH17" s="19"/>
      <c r="AI17" s="16">
        <f>182+170</f>
        <v>352</v>
      </c>
      <c r="AJ17" s="19"/>
      <c r="AK17" s="16">
        <f>86+84</f>
        <v>170</v>
      </c>
      <c r="AL17" s="19"/>
      <c r="AM17" s="16"/>
      <c r="AN17" s="19"/>
      <c r="AO17" s="16"/>
      <c r="AP17" s="19"/>
      <c r="AQ17" s="16"/>
      <c r="AR17" s="19"/>
      <c r="AS17" s="16">
        <f>124+132</f>
        <v>256</v>
      </c>
      <c r="AT17" s="19"/>
      <c r="AU17" s="16">
        <f>155+149</f>
        <v>304</v>
      </c>
      <c r="AV17" s="19"/>
      <c r="AW17" s="16">
        <f>169+140</f>
        <v>309</v>
      </c>
      <c r="AX17" s="19"/>
      <c r="AY17" s="16">
        <f>144+127</f>
        <v>271</v>
      </c>
      <c r="AZ17" s="19"/>
      <c r="BA17" s="16">
        <f>96+82</f>
        <v>178</v>
      </c>
      <c r="BB17" s="19"/>
      <c r="BC17" s="16">
        <f>155+151</f>
        <v>306</v>
      </c>
      <c r="BD17" s="19"/>
      <c r="BE17" s="16">
        <f>279+260</f>
        <v>539</v>
      </c>
      <c r="BG17" s="16"/>
      <c r="BI17" s="16"/>
      <c r="BJ17" s="19"/>
      <c r="BK17" s="16"/>
      <c r="BL17" s="19"/>
      <c r="BM17" s="18">
        <f t="shared" si="0"/>
        <v>539</v>
      </c>
    </row>
    <row r="18" spans="1:110" x14ac:dyDescent="0.2">
      <c r="A18" s="9" t="s">
        <v>34</v>
      </c>
      <c r="C18" s="16">
        <f>87+71</f>
        <v>158</v>
      </c>
      <c r="D18" s="19"/>
      <c r="E18" s="16">
        <f>98+74</f>
        <v>172</v>
      </c>
      <c r="F18" s="19"/>
      <c r="G18" s="16">
        <f>4+3</f>
        <v>7</v>
      </c>
      <c r="H18" s="19"/>
      <c r="I18" s="16">
        <v>0</v>
      </c>
      <c r="J18" s="19"/>
      <c r="K18" s="16">
        <f>1+2</f>
        <v>3</v>
      </c>
      <c r="L18" s="19"/>
      <c r="M18" s="16">
        <f>2+2</f>
        <v>4</v>
      </c>
      <c r="N18" s="19"/>
      <c r="O18" s="16">
        <v>1</v>
      </c>
      <c r="P18" s="19"/>
      <c r="Q18" s="16">
        <v>0</v>
      </c>
      <c r="R18" s="19"/>
      <c r="S18" s="16">
        <f>79+60</f>
        <v>139</v>
      </c>
      <c r="T18" s="19"/>
      <c r="U18" s="16">
        <f>115+89</f>
        <v>204</v>
      </c>
      <c r="V18" s="19"/>
      <c r="W18" s="16">
        <f>1+1</f>
        <v>2</v>
      </c>
      <c r="X18" s="19"/>
      <c r="Y18" s="16">
        <v>0</v>
      </c>
      <c r="Z18" s="19"/>
      <c r="AA18" s="16">
        <v>3</v>
      </c>
      <c r="AB18" s="19"/>
      <c r="AC18" s="16">
        <v>1</v>
      </c>
      <c r="AD18" s="19"/>
      <c r="AE18" s="16">
        <f>86+77</f>
        <v>163</v>
      </c>
      <c r="AF18" s="19"/>
      <c r="AG18" s="16">
        <f>105+76</f>
        <v>181</v>
      </c>
      <c r="AH18" s="19"/>
      <c r="AI18" s="16">
        <f>88+78</f>
        <v>166</v>
      </c>
      <c r="AJ18" s="19"/>
      <c r="AK18" s="16">
        <f>102+75</f>
        <v>177</v>
      </c>
      <c r="AL18" s="19"/>
      <c r="AM18" s="16"/>
      <c r="AN18" s="19"/>
      <c r="AO18" s="16"/>
      <c r="AP18" s="19"/>
      <c r="AQ18" s="16"/>
      <c r="AR18" s="19"/>
      <c r="AS18" s="16">
        <f>125+97</f>
        <v>222</v>
      </c>
      <c r="AT18" s="19"/>
      <c r="AU18" s="16">
        <f>84+67</f>
        <v>151</v>
      </c>
      <c r="AV18" s="19"/>
      <c r="AW18" s="16">
        <f>95+80</f>
        <v>175</v>
      </c>
      <c r="AX18" s="19"/>
      <c r="AY18" s="16">
        <f>78+66</f>
        <v>144</v>
      </c>
      <c r="AZ18" s="19"/>
      <c r="BA18" s="16">
        <f>63+52</f>
        <v>115</v>
      </c>
      <c r="BB18" s="19"/>
      <c r="BC18" s="16">
        <f>81+56</f>
        <v>137</v>
      </c>
      <c r="BD18" s="19"/>
      <c r="BE18" s="16">
        <f>197+155</f>
        <v>352</v>
      </c>
      <c r="BG18" s="16"/>
      <c r="BI18" s="16"/>
      <c r="BJ18" s="19"/>
      <c r="BK18" s="16"/>
      <c r="BL18" s="19"/>
      <c r="BM18" s="18">
        <f t="shared" si="0"/>
        <v>352</v>
      </c>
    </row>
    <row r="19" spans="1:110" ht="13.5" thickBot="1" x14ac:dyDescent="0.25"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G19" s="19"/>
      <c r="BI19" s="19"/>
      <c r="BJ19" s="19"/>
      <c r="BK19" s="19"/>
      <c r="BL19" s="19"/>
      <c r="BM19" s="19"/>
    </row>
    <row r="20" spans="1:110" s="48" customFormat="1" ht="13.5" thickBot="1" x14ac:dyDescent="0.25">
      <c r="A20" s="3" t="s">
        <v>24</v>
      </c>
      <c r="C20" s="41">
        <f>+SUM(C11:C18)</f>
        <v>1697</v>
      </c>
      <c r="D20" s="57"/>
      <c r="E20" s="41">
        <f>+SUM(E11:E18)</f>
        <v>1301</v>
      </c>
      <c r="F20" s="57"/>
      <c r="G20" s="41">
        <f>+SUM(G11:G18)</f>
        <v>39</v>
      </c>
      <c r="H20" s="57"/>
      <c r="I20" s="41">
        <f>+SUM(I11:I18)</f>
        <v>7</v>
      </c>
      <c r="J20" s="57"/>
      <c r="K20" s="41">
        <f>+SUM(K11:K18)</f>
        <v>19</v>
      </c>
      <c r="L20" s="57"/>
      <c r="M20" s="41">
        <f>+SUM(M11:M18)</f>
        <v>30</v>
      </c>
      <c r="N20" s="57"/>
      <c r="O20" s="41">
        <f>+SUM(O11:O18)</f>
        <v>10</v>
      </c>
      <c r="P20" s="57"/>
      <c r="Q20" s="41">
        <f>+SUM(Q11:Q18)</f>
        <v>2</v>
      </c>
      <c r="R20" s="57"/>
      <c r="S20" s="41">
        <f>+SUM(S11:S18)</f>
        <v>1398</v>
      </c>
      <c r="T20" s="57"/>
      <c r="U20" s="41">
        <f>+SUM(U11:U18)</f>
        <v>1649</v>
      </c>
      <c r="V20" s="57"/>
      <c r="W20" s="41">
        <f>+SUM(W11:W18)</f>
        <v>12</v>
      </c>
      <c r="X20" s="57"/>
      <c r="Y20" s="41">
        <f>+SUM(Y11:Y18)</f>
        <v>7</v>
      </c>
      <c r="Z20" s="57"/>
      <c r="AA20" s="41">
        <f>+SUM(AA11:AA18)</f>
        <v>40</v>
      </c>
      <c r="AB20" s="57"/>
      <c r="AC20" s="41">
        <f>+SUM(AC11:AC18)</f>
        <v>11</v>
      </c>
      <c r="AD20" s="57"/>
      <c r="AE20" s="41">
        <f>+SUM(AE11:AE18)</f>
        <v>1790</v>
      </c>
      <c r="AF20" s="57"/>
      <c r="AG20" s="41">
        <f>+SUM(AG11:AG18)</f>
        <v>1281</v>
      </c>
      <c r="AH20" s="57"/>
      <c r="AI20" s="41">
        <f>+SUM(AI11:AI18)</f>
        <v>1753</v>
      </c>
      <c r="AJ20" s="57"/>
      <c r="AK20" s="41">
        <f>+SUM(AK11:AK18)</f>
        <v>1307</v>
      </c>
      <c r="AL20" s="57"/>
      <c r="AM20" s="41">
        <f>+SUM(AM11:AM18)</f>
        <v>728</v>
      </c>
      <c r="AN20" s="57"/>
      <c r="AO20" s="41">
        <f>+SUM(AO11:AO18)</f>
        <v>714</v>
      </c>
      <c r="AP20" s="57"/>
      <c r="AQ20" s="41">
        <f>+SUM(AQ11:AQ18)</f>
        <v>0</v>
      </c>
      <c r="AR20" s="57"/>
      <c r="AS20" s="41">
        <f>+SUM(AS11:AS18)</f>
        <v>938</v>
      </c>
      <c r="AT20" s="57"/>
      <c r="AU20" s="41">
        <f>+SUM(AU11:AU18)</f>
        <v>1618</v>
      </c>
      <c r="AV20" s="57"/>
      <c r="AW20" s="41">
        <f>+SUM(AW11:AW18)</f>
        <v>1670</v>
      </c>
      <c r="AX20" s="57"/>
      <c r="AY20" s="41">
        <f>+SUM(AY11:AY18)</f>
        <v>1436</v>
      </c>
      <c r="AZ20" s="57"/>
      <c r="BA20" s="41">
        <f>+SUM(BA11:BA18)</f>
        <v>1157</v>
      </c>
      <c r="BB20" s="57"/>
      <c r="BC20" s="41">
        <f>+SUM(BC11:BC18)</f>
        <v>1623</v>
      </c>
      <c r="BD20" s="57"/>
      <c r="BE20" s="41">
        <f>+SUM(BE11:BE18)</f>
        <v>3174</v>
      </c>
      <c r="BF20" s="42"/>
      <c r="BG20" s="41">
        <f>+SUM(BG11:BG18)</f>
        <v>453</v>
      </c>
      <c r="BH20" s="42"/>
      <c r="BI20" s="41">
        <f>+SUM(BI11:BI18)</f>
        <v>52</v>
      </c>
      <c r="BJ20" s="42"/>
      <c r="BK20" s="41">
        <f>+SUM(BK11:BK18)</f>
        <v>0</v>
      </c>
      <c r="BL20" s="42"/>
      <c r="BM20" s="41">
        <f>+SUM(BM11:BM18)</f>
        <v>3679</v>
      </c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</row>
    <row r="21" spans="1:110" x14ac:dyDescent="0.2">
      <c r="A21" s="36" t="s">
        <v>73</v>
      </c>
      <c r="C21" s="19">
        <f>123+110</f>
        <v>233</v>
      </c>
      <c r="D21" s="19"/>
      <c r="E21" s="19">
        <f>102+95</f>
        <v>197</v>
      </c>
      <c r="F21" s="19"/>
      <c r="G21" s="19">
        <f>1+2</f>
        <v>3</v>
      </c>
      <c r="H21" s="19"/>
      <c r="I21" s="19">
        <v>3</v>
      </c>
      <c r="J21" s="19"/>
      <c r="K21" s="19">
        <v>2</v>
      </c>
      <c r="L21" s="19"/>
      <c r="M21" s="19">
        <v>1</v>
      </c>
      <c r="N21" s="19"/>
      <c r="O21" s="19">
        <v>0</v>
      </c>
      <c r="P21" s="19"/>
      <c r="Q21" s="19">
        <v>0</v>
      </c>
      <c r="R21" s="19"/>
      <c r="S21" s="19">
        <f>90+85</f>
        <v>175</v>
      </c>
      <c r="T21" s="19"/>
      <c r="U21" s="19">
        <f>136+119</f>
        <v>255</v>
      </c>
      <c r="V21" s="19"/>
      <c r="W21" s="19">
        <v>3</v>
      </c>
      <c r="X21" s="19"/>
      <c r="Y21" s="19">
        <v>1</v>
      </c>
      <c r="Z21" s="19"/>
      <c r="AA21" s="19">
        <v>3</v>
      </c>
      <c r="AB21" s="19"/>
      <c r="AC21" s="19">
        <v>0</v>
      </c>
      <c r="AD21" s="19"/>
      <c r="AE21" s="19">
        <f>131+111</f>
        <v>242</v>
      </c>
      <c r="AF21" s="19"/>
      <c r="AG21" s="19">
        <f>103+100</f>
        <v>203</v>
      </c>
      <c r="AH21" s="19"/>
      <c r="AI21" s="19">
        <f>121+110</f>
        <v>231</v>
      </c>
      <c r="AJ21" s="19"/>
      <c r="AK21" s="19">
        <f>110+99</f>
        <v>209</v>
      </c>
      <c r="AL21" s="19"/>
      <c r="AM21" s="19">
        <v>114</v>
      </c>
      <c r="AN21" s="19"/>
      <c r="AO21" s="19">
        <v>118</v>
      </c>
      <c r="AP21" s="19"/>
      <c r="AQ21" s="19"/>
      <c r="AR21" s="19"/>
      <c r="AS21" s="19">
        <v>125</v>
      </c>
      <c r="AT21" s="19"/>
      <c r="AU21" s="19">
        <f>147+130</f>
        <v>277</v>
      </c>
      <c r="AV21" s="19"/>
      <c r="AW21" s="19">
        <f>158+135</f>
        <v>293</v>
      </c>
      <c r="AX21" s="19"/>
      <c r="AY21" s="19">
        <f>148+132</f>
        <v>280</v>
      </c>
      <c r="AZ21" s="19"/>
      <c r="BA21" s="19">
        <f>123+123</f>
        <v>246</v>
      </c>
      <c r="BB21" s="19"/>
      <c r="BC21" s="19">
        <f>93+81</f>
        <v>174</v>
      </c>
      <c r="BD21" s="19"/>
    </row>
    <row r="22" spans="1:110" x14ac:dyDescent="0.2">
      <c r="A22" s="4" t="s">
        <v>25</v>
      </c>
      <c r="C22" s="19">
        <f>9+15</f>
        <v>24</v>
      </c>
      <c r="D22" s="19"/>
      <c r="E22" s="19">
        <f>13+11</f>
        <v>24</v>
      </c>
      <c r="F22" s="19"/>
      <c r="G22" s="19">
        <v>2</v>
      </c>
      <c r="H22" s="19"/>
      <c r="I22" s="19">
        <v>1</v>
      </c>
      <c r="J22" s="19"/>
      <c r="K22" s="19">
        <v>0</v>
      </c>
      <c r="L22" s="19"/>
      <c r="M22" s="19">
        <v>0</v>
      </c>
      <c r="N22" s="19"/>
      <c r="O22" s="19">
        <v>0</v>
      </c>
      <c r="P22" s="19"/>
      <c r="Q22" s="19">
        <v>0</v>
      </c>
      <c r="R22" s="19"/>
      <c r="S22" s="19">
        <f>9+9</f>
        <v>18</v>
      </c>
      <c r="T22" s="19"/>
      <c r="U22" s="19">
        <f>14+16</f>
        <v>30</v>
      </c>
      <c r="V22" s="19"/>
      <c r="W22" s="19">
        <v>0</v>
      </c>
      <c r="X22" s="19"/>
      <c r="Y22" s="19">
        <v>0</v>
      </c>
      <c r="Z22" s="19"/>
      <c r="AA22" s="19">
        <v>0</v>
      </c>
      <c r="AB22" s="19"/>
      <c r="AC22" s="19">
        <v>0</v>
      </c>
      <c r="AD22" s="19"/>
      <c r="AE22" s="19">
        <f>11+14</f>
        <v>25</v>
      </c>
      <c r="AF22" s="19"/>
      <c r="AG22" s="19">
        <f>12+13</f>
        <v>25</v>
      </c>
      <c r="AH22" s="19"/>
      <c r="AI22" s="19">
        <f>11+16</f>
        <v>27</v>
      </c>
      <c r="AJ22" s="19"/>
      <c r="AK22" s="19">
        <f>12+12</f>
        <v>24</v>
      </c>
      <c r="AL22" s="19"/>
      <c r="AM22" s="19">
        <v>13</v>
      </c>
      <c r="AN22" s="19"/>
      <c r="AO22" s="19">
        <v>10</v>
      </c>
      <c r="AP22" s="19"/>
      <c r="AQ22" s="19"/>
      <c r="AR22" s="19"/>
      <c r="AS22" s="19">
        <v>18</v>
      </c>
      <c r="AT22" s="19"/>
      <c r="AU22" s="19">
        <f>12+16</f>
        <v>28</v>
      </c>
      <c r="AV22" s="19"/>
      <c r="AW22" s="19">
        <f>14+18</f>
        <v>32</v>
      </c>
      <c r="AX22" s="19"/>
      <c r="AY22" s="19">
        <f>12+17</f>
        <v>29</v>
      </c>
      <c r="AZ22" s="19"/>
      <c r="BA22" s="19">
        <f>12+10</f>
        <v>22</v>
      </c>
      <c r="BB22" s="19"/>
      <c r="BC22" s="19">
        <f>8+17</f>
        <v>25</v>
      </c>
      <c r="BD22" s="19"/>
    </row>
    <row r="23" spans="1:110" ht="13.5" thickBot="1" x14ac:dyDescent="0.25">
      <c r="A23" s="4" t="s">
        <v>79</v>
      </c>
      <c r="C23" s="19">
        <v>2</v>
      </c>
      <c r="D23" s="19"/>
      <c r="E23" s="19">
        <v>2</v>
      </c>
      <c r="F23" s="19"/>
      <c r="G23" s="19">
        <v>0</v>
      </c>
      <c r="H23" s="19"/>
      <c r="I23" s="19">
        <v>0</v>
      </c>
      <c r="J23" s="19"/>
      <c r="K23" s="19">
        <v>0</v>
      </c>
      <c r="L23" s="19"/>
      <c r="M23" s="19">
        <v>0</v>
      </c>
      <c r="N23" s="19"/>
      <c r="O23" s="19">
        <v>0</v>
      </c>
      <c r="P23" s="19"/>
      <c r="Q23" s="19">
        <v>0</v>
      </c>
      <c r="R23" s="19"/>
      <c r="S23" s="19">
        <v>2</v>
      </c>
      <c r="T23" s="19"/>
      <c r="U23" s="19">
        <v>2</v>
      </c>
      <c r="V23" s="19"/>
      <c r="W23" s="19">
        <v>0</v>
      </c>
      <c r="X23" s="19"/>
      <c r="Y23" s="19">
        <v>0</v>
      </c>
      <c r="Z23" s="19"/>
      <c r="AA23" s="19">
        <v>0</v>
      </c>
      <c r="AB23" s="19"/>
      <c r="AC23" s="19">
        <v>0</v>
      </c>
      <c r="AD23" s="19"/>
      <c r="AE23" s="19">
        <v>2</v>
      </c>
      <c r="AF23" s="19"/>
      <c r="AG23" s="19">
        <v>2</v>
      </c>
      <c r="AH23" s="19"/>
      <c r="AI23" s="19">
        <v>0</v>
      </c>
      <c r="AJ23" s="19"/>
      <c r="AK23" s="19">
        <v>0</v>
      </c>
      <c r="AL23" s="19"/>
      <c r="AM23" s="19">
        <v>0</v>
      </c>
      <c r="AN23" s="19"/>
      <c r="AO23" s="19">
        <v>0</v>
      </c>
      <c r="AP23" s="19"/>
      <c r="AQ23" s="19">
        <v>0</v>
      </c>
      <c r="AR23" s="19"/>
      <c r="AS23" s="19">
        <v>0</v>
      </c>
      <c r="AT23" s="19"/>
      <c r="AU23" s="19">
        <v>0</v>
      </c>
      <c r="AV23" s="19"/>
      <c r="AW23" s="19">
        <v>0</v>
      </c>
      <c r="AX23" s="19"/>
      <c r="AY23" s="19">
        <v>0</v>
      </c>
      <c r="AZ23" s="19"/>
      <c r="BA23" s="19">
        <v>2</v>
      </c>
      <c r="BB23" s="19"/>
      <c r="BC23" s="19">
        <v>2</v>
      </c>
      <c r="BD23" s="19"/>
    </row>
    <row r="24" spans="1:110" s="48" customFormat="1" ht="13.5" thickBot="1" x14ac:dyDescent="0.25">
      <c r="A24" s="3" t="s">
        <v>26</v>
      </c>
      <c r="C24" s="41">
        <f>+SUM(C20:C23)</f>
        <v>1956</v>
      </c>
      <c r="D24" s="57"/>
      <c r="E24" s="41">
        <f>+SUM(E20:E23)</f>
        <v>1524</v>
      </c>
      <c r="F24" s="57"/>
      <c r="G24" s="41">
        <f>+SUM(G20:G23)</f>
        <v>44</v>
      </c>
      <c r="H24" s="57"/>
      <c r="I24" s="41">
        <f>+SUM(I20:I23)</f>
        <v>11</v>
      </c>
      <c r="J24" s="57"/>
      <c r="K24" s="41">
        <f>+SUM(K20:K23)</f>
        <v>21</v>
      </c>
      <c r="L24" s="57"/>
      <c r="M24" s="41">
        <f>+SUM(M20:M23)</f>
        <v>31</v>
      </c>
      <c r="N24" s="57"/>
      <c r="O24" s="41">
        <f>+SUM(O20:O23)</f>
        <v>10</v>
      </c>
      <c r="P24" s="57"/>
      <c r="Q24" s="41">
        <f>+SUM(Q20:Q23)</f>
        <v>2</v>
      </c>
      <c r="R24" s="57"/>
      <c r="S24" s="41">
        <f>+SUM(S20:S23)</f>
        <v>1593</v>
      </c>
      <c r="T24" s="57"/>
      <c r="U24" s="41">
        <f>+SUM(U20:U23)</f>
        <v>1936</v>
      </c>
      <c r="V24" s="57"/>
      <c r="W24" s="41">
        <f>+SUM(W20:W23)</f>
        <v>15</v>
      </c>
      <c r="X24" s="57"/>
      <c r="Y24" s="41">
        <f>+SUM(Y20:Y23)</f>
        <v>8</v>
      </c>
      <c r="Z24" s="57"/>
      <c r="AA24" s="41">
        <f>+SUM(AA20:AA23)</f>
        <v>43</v>
      </c>
      <c r="AB24" s="57"/>
      <c r="AC24" s="41">
        <f>+SUM(AC20:AC23)</f>
        <v>11</v>
      </c>
      <c r="AD24" s="57"/>
      <c r="AE24" s="41">
        <f>+SUM(AE20:AE23)</f>
        <v>2059</v>
      </c>
      <c r="AF24" s="57"/>
      <c r="AG24" s="41">
        <f>+SUM(AG20:AG23)</f>
        <v>1511</v>
      </c>
      <c r="AH24" s="57"/>
      <c r="AI24" s="41">
        <f>+SUM(AI20:AI23)</f>
        <v>2011</v>
      </c>
      <c r="AJ24" s="57"/>
      <c r="AK24" s="41">
        <f>+SUM(AK20:AK23)</f>
        <v>1540</v>
      </c>
      <c r="AL24" s="57"/>
      <c r="AM24" s="41">
        <f>+SUM(AM20:AM23)</f>
        <v>855</v>
      </c>
      <c r="AN24" s="57"/>
      <c r="AO24" s="41">
        <f>+SUM(AO20:AO23)</f>
        <v>842</v>
      </c>
      <c r="AP24" s="57"/>
      <c r="AQ24" s="41">
        <f>+SUM(AQ20:AQ23)</f>
        <v>0</v>
      </c>
      <c r="AR24" s="57"/>
      <c r="AS24" s="41">
        <f>+SUM(AS20:AS23)</f>
        <v>1081</v>
      </c>
      <c r="AT24" s="57"/>
      <c r="AU24" s="41">
        <f>+SUM(AU20:AU23)</f>
        <v>1923</v>
      </c>
      <c r="AV24" s="57"/>
      <c r="AW24" s="41">
        <f>+SUM(AW20:AW23)</f>
        <v>1995</v>
      </c>
      <c r="AX24" s="57"/>
      <c r="AY24" s="41">
        <f>+SUM(AY20:AY23)</f>
        <v>1745</v>
      </c>
      <c r="AZ24" s="57"/>
      <c r="BA24" s="41">
        <f>+SUM(BA20:BA23)</f>
        <v>1427</v>
      </c>
      <c r="BB24" s="57"/>
      <c r="BC24" s="41">
        <f>+SUM(BC20:BC23)</f>
        <v>1824</v>
      </c>
      <c r="BD24" s="57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</row>
    <row r="25" spans="1:110" x14ac:dyDescent="0.2">
      <c r="A25" s="3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G25" s="27"/>
    </row>
    <row r="26" spans="1:110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G26" s="27"/>
    </row>
    <row r="27" spans="1:110" x14ac:dyDescent="0.2">
      <c r="BG27" s="27"/>
    </row>
    <row r="28" spans="1:110" x14ac:dyDescent="0.2">
      <c r="A28" s="39"/>
    </row>
    <row r="30" spans="1:110" x14ac:dyDescent="0.2">
      <c r="BE30" s="19"/>
      <c r="BG30" s="19"/>
    </row>
    <row r="31" spans="1:110" x14ac:dyDescent="0.2">
      <c r="BE31" s="19"/>
      <c r="BG31" s="19"/>
    </row>
    <row r="32" spans="1:110" x14ac:dyDescent="0.2">
      <c r="BE32" s="19"/>
      <c r="BG32" s="19"/>
    </row>
    <row r="33" spans="1:59" x14ac:dyDescent="0.2">
      <c r="BE33" s="20"/>
      <c r="BF33" s="20"/>
      <c r="BG33" s="20"/>
    </row>
    <row r="34" spans="1:59" x14ac:dyDescent="0.2">
      <c r="BG34" s="27"/>
    </row>
    <row r="35" spans="1:59" x14ac:dyDescent="0.2">
      <c r="BG35" s="27"/>
    </row>
    <row r="36" spans="1:59" x14ac:dyDescent="0.2">
      <c r="BG36" s="27"/>
    </row>
    <row r="37" spans="1:59" x14ac:dyDescent="0.2">
      <c r="BG37" s="27"/>
    </row>
    <row r="38" spans="1:59" x14ac:dyDescent="0.2">
      <c r="A38" s="3"/>
      <c r="BG38" s="27"/>
    </row>
    <row r="39" spans="1:59" x14ac:dyDescent="0.2">
      <c r="BG39" s="27"/>
    </row>
    <row r="40" spans="1:59" x14ac:dyDescent="0.2">
      <c r="BG40" s="27"/>
    </row>
    <row r="41" spans="1:59" x14ac:dyDescent="0.2">
      <c r="BG41" s="27"/>
    </row>
    <row r="42" spans="1:59" x14ac:dyDescent="0.2">
      <c r="BG42" s="27"/>
    </row>
    <row r="43" spans="1:59" x14ac:dyDescent="0.2">
      <c r="BG43" s="27"/>
    </row>
    <row r="44" spans="1:59" x14ac:dyDescent="0.2">
      <c r="BG44" s="27"/>
    </row>
    <row r="45" spans="1:59" x14ac:dyDescent="0.2">
      <c r="BG45" s="27"/>
    </row>
    <row r="46" spans="1:59" x14ac:dyDescent="0.2">
      <c r="BG46" s="27"/>
    </row>
    <row r="47" spans="1:59" x14ac:dyDescent="0.2">
      <c r="BG47" s="27"/>
    </row>
    <row r="48" spans="1:59" x14ac:dyDescent="0.2">
      <c r="BG48" s="27"/>
    </row>
    <row r="49" spans="59:59" x14ac:dyDescent="0.2">
      <c r="BG49" s="27"/>
    </row>
    <row r="50" spans="59:59" x14ac:dyDescent="0.2">
      <c r="BG50" s="27"/>
    </row>
    <row r="51" spans="59:59" x14ac:dyDescent="0.2">
      <c r="BG51" s="27"/>
    </row>
    <row r="52" spans="59:59" x14ac:dyDescent="0.2">
      <c r="BG52" s="27"/>
    </row>
    <row r="53" spans="59:59" x14ac:dyDescent="0.2">
      <c r="BG53" s="27"/>
    </row>
    <row r="54" spans="59:59" x14ac:dyDescent="0.2">
      <c r="BG54" s="27"/>
    </row>
    <row r="55" spans="59:59" x14ac:dyDescent="0.2">
      <c r="BG55" s="27"/>
    </row>
    <row r="56" spans="59:59" x14ac:dyDescent="0.2">
      <c r="BG56" s="27"/>
    </row>
    <row r="57" spans="59:59" x14ac:dyDescent="0.2">
      <c r="BG57" s="27"/>
    </row>
    <row r="58" spans="59:59" x14ac:dyDescent="0.2">
      <c r="BG58" s="27"/>
    </row>
    <row r="59" spans="59:59" x14ac:dyDescent="0.2">
      <c r="BG59" s="27"/>
    </row>
    <row r="60" spans="59:59" x14ac:dyDescent="0.2">
      <c r="BG60" s="27"/>
    </row>
    <row r="61" spans="59:59" x14ac:dyDescent="0.2">
      <c r="BG61" s="27"/>
    </row>
    <row r="62" spans="59:59" x14ac:dyDescent="0.2">
      <c r="BG62" s="27"/>
    </row>
    <row r="63" spans="59:59" x14ac:dyDescent="0.2">
      <c r="BG63" s="27"/>
    </row>
    <row r="64" spans="59:59" x14ac:dyDescent="0.2">
      <c r="BG64" s="27"/>
    </row>
    <row r="65" spans="59:59" x14ac:dyDescent="0.2">
      <c r="BG65" s="27"/>
    </row>
    <row r="66" spans="59:59" x14ac:dyDescent="0.2">
      <c r="BG66" s="27"/>
    </row>
    <row r="67" spans="59:59" x14ac:dyDescent="0.2">
      <c r="BG67" s="27"/>
    </row>
    <row r="68" spans="59:59" x14ac:dyDescent="0.2">
      <c r="BG68" s="27"/>
    </row>
    <row r="69" spans="59:59" x14ac:dyDescent="0.2">
      <c r="BG69" s="27"/>
    </row>
    <row r="70" spans="59:59" x14ac:dyDescent="0.2">
      <c r="BG70" s="27"/>
    </row>
    <row r="71" spans="59:59" x14ac:dyDescent="0.2">
      <c r="BG71" s="27"/>
    </row>
    <row r="72" spans="59:59" x14ac:dyDescent="0.2">
      <c r="BG72" s="27"/>
    </row>
    <row r="73" spans="59:59" x14ac:dyDescent="0.2">
      <c r="BG73" s="27"/>
    </row>
    <row r="74" spans="59:59" x14ac:dyDescent="0.2">
      <c r="BG74" s="27"/>
    </row>
    <row r="75" spans="59:59" x14ac:dyDescent="0.2">
      <c r="BG75" s="27"/>
    </row>
    <row r="76" spans="59:59" x14ac:dyDescent="0.2">
      <c r="BG76" s="27"/>
    </row>
    <row r="77" spans="59:59" x14ac:dyDescent="0.2">
      <c r="BG77" s="27"/>
    </row>
    <row r="78" spans="59:59" x14ac:dyDescent="0.2">
      <c r="BG78" s="27"/>
    </row>
    <row r="79" spans="59:59" x14ac:dyDescent="0.2">
      <c r="BG79" s="27"/>
    </row>
    <row r="80" spans="59:59" x14ac:dyDescent="0.2">
      <c r="BG80" s="27"/>
    </row>
    <row r="81" spans="59:59" x14ac:dyDescent="0.2">
      <c r="BG81" s="27"/>
    </row>
    <row r="82" spans="59:59" x14ac:dyDescent="0.2">
      <c r="BG82" s="27"/>
    </row>
    <row r="83" spans="59:59" x14ac:dyDescent="0.2">
      <c r="BG83" s="27"/>
    </row>
    <row r="84" spans="59:59" x14ac:dyDescent="0.2">
      <c r="BG84" s="27"/>
    </row>
    <row r="85" spans="59:59" x14ac:dyDescent="0.2">
      <c r="BG85" s="27"/>
    </row>
    <row r="86" spans="59:59" x14ac:dyDescent="0.2">
      <c r="BG86" s="27"/>
    </row>
    <row r="87" spans="59:59" x14ac:dyDescent="0.2">
      <c r="BG87" s="27"/>
    </row>
    <row r="88" spans="59:59" x14ac:dyDescent="0.2">
      <c r="BG88" s="27"/>
    </row>
    <row r="89" spans="59:59" x14ac:dyDescent="0.2">
      <c r="BG89" s="27"/>
    </row>
    <row r="90" spans="59:59" x14ac:dyDescent="0.2">
      <c r="BG90" s="27"/>
    </row>
    <row r="91" spans="59:59" x14ac:dyDescent="0.2">
      <c r="BG91" s="27"/>
    </row>
    <row r="92" spans="59:59" x14ac:dyDescent="0.2">
      <c r="BG92" s="27"/>
    </row>
    <row r="93" spans="59:59" x14ac:dyDescent="0.2">
      <c r="BG93" s="27"/>
    </row>
    <row r="94" spans="59:59" x14ac:dyDescent="0.2">
      <c r="BG94" s="27"/>
    </row>
    <row r="95" spans="59:59" x14ac:dyDescent="0.2">
      <c r="BG95" s="27"/>
    </row>
    <row r="96" spans="59:59" x14ac:dyDescent="0.2">
      <c r="BG96" s="27"/>
    </row>
    <row r="97" spans="59:59" x14ac:dyDescent="0.2">
      <c r="BG97" s="27"/>
    </row>
    <row r="98" spans="59:59" x14ac:dyDescent="0.2">
      <c r="BG98" s="27"/>
    </row>
    <row r="99" spans="59:59" x14ac:dyDescent="0.2">
      <c r="BG99" s="27"/>
    </row>
    <row r="100" spans="59:59" x14ac:dyDescent="0.2">
      <c r="BG100" s="27"/>
    </row>
    <row r="101" spans="59:59" x14ac:dyDescent="0.2">
      <c r="BG101" s="27"/>
    </row>
    <row r="102" spans="59:59" x14ac:dyDescent="0.2">
      <c r="BG102" s="27"/>
    </row>
    <row r="103" spans="59:59" x14ac:dyDescent="0.2">
      <c r="BG103" s="27"/>
    </row>
    <row r="104" spans="59:59" x14ac:dyDescent="0.2">
      <c r="BG104" s="27"/>
    </row>
    <row r="105" spans="59:59" x14ac:dyDescent="0.2">
      <c r="BG105" s="27"/>
    </row>
    <row r="106" spans="59:59" x14ac:dyDescent="0.2">
      <c r="BG106" s="27"/>
    </row>
    <row r="107" spans="59:59" x14ac:dyDescent="0.2">
      <c r="BG107" s="27"/>
    </row>
    <row r="108" spans="59:59" x14ac:dyDescent="0.2">
      <c r="BG108" s="27"/>
    </row>
    <row r="109" spans="59:59" x14ac:dyDescent="0.2">
      <c r="BG109" s="27"/>
    </row>
    <row r="110" spans="59:59" x14ac:dyDescent="0.2">
      <c r="BG110" s="27"/>
    </row>
    <row r="111" spans="59:59" x14ac:dyDescent="0.2">
      <c r="BG111" s="27"/>
    </row>
    <row r="112" spans="59:59" x14ac:dyDescent="0.2">
      <c r="BG112" s="27"/>
    </row>
    <row r="113" spans="59:59" x14ac:dyDescent="0.2">
      <c r="BG113" s="27"/>
    </row>
    <row r="114" spans="59:59" x14ac:dyDescent="0.2">
      <c r="BG114" s="27"/>
    </row>
    <row r="115" spans="59:59" x14ac:dyDescent="0.2">
      <c r="BG115" s="27"/>
    </row>
    <row r="116" spans="59:59" x14ac:dyDescent="0.2">
      <c r="BG116" s="27"/>
    </row>
    <row r="117" spans="59:59" x14ac:dyDescent="0.2">
      <c r="BG117" s="27"/>
    </row>
    <row r="118" spans="59:59" x14ac:dyDescent="0.2">
      <c r="BG118" s="27"/>
    </row>
    <row r="119" spans="59:59" x14ac:dyDescent="0.2">
      <c r="BG119" s="27"/>
    </row>
    <row r="120" spans="59:59" x14ac:dyDescent="0.2">
      <c r="BG120" s="27"/>
    </row>
    <row r="121" spans="59:59" x14ac:dyDescent="0.2">
      <c r="BG121" s="27"/>
    </row>
    <row r="122" spans="59:59" x14ac:dyDescent="0.2">
      <c r="BG122" s="27"/>
    </row>
    <row r="123" spans="59:59" x14ac:dyDescent="0.2">
      <c r="BG123" s="27"/>
    </row>
    <row r="124" spans="59:59" x14ac:dyDescent="0.2">
      <c r="BG124" s="27"/>
    </row>
    <row r="125" spans="59:59" x14ac:dyDescent="0.2">
      <c r="BG125" s="27"/>
    </row>
    <row r="126" spans="59:59" x14ac:dyDescent="0.2">
      <c r="BG126" s="27"/>
    </row>
    <row r="127" spans="59:59" x14ac:dyDescent="0.2">
      <c r="BG127" s="27"/>
    </row>
    <row r="128" spans="59:59" x14ac:dyDescent="0.2">
      <c r="BG128" s="27"/>
    </row>
    <row r="129" spans="59:59" x14ac:dyDescent="0.2">
      <c r="BG129" s="27"/>
    </row>
    <row r="130" spans="59:59" x14ac:dyDescent="0.2">
      <c r="BG130" s="27"/>
    </row>
    <row r="131" spans="59:59" x14ac:dyDescent="0.2">
      <c r="BG131" s="27"/>
    </row>
    <row r="132" spans="59:59" x14ac:dyDescent="0.2">
      <c r="BG132" s="27"/>
    </row>
    <row r="133" spans="59:59" x14ac:dyDescent="0.2">
      <c r="BG133" s="27"/>
    </row>
    <row r="134" spans="59:59" x14ac:dyDescent="0.2">
      <c r="BG134" s="27"/>
    </row>
    <row r="135" spans="59:59" x14ac:dyDescent="0.2">
      <c r="BG135" s="27"/>
    </row>
    <row r="136" spans="59:59" x14ac:dyDescent="0.2">
      <c r="BG136" s="27"/>
    </row>
    <row r="137" spans="59:59" x14ac:dyDescent="0.2">
      <c r="BG137" s="27"/>
    </row>
    <row r="138" spans="59:59" x14ac:dyDescent="0.2">
      <c r="BG138" s="27"/>
    </row>
    <row r="139" spans="59:59" x14ac:dyDescent="0.2">
      <c r="BG139" s="27"/>
    </row>
    <row r="140" spans="59:59" x14ac:dyDescent="0.2">
      <c r="BG140" s="27"/>
    </row>
    <row r="141" spans="59:59" x14ac:dyDescent="0.2">
      <c r="BG141" s="27"/>
    </row>
    <row r="142" spans="59:59" x14ac:dyDescent="0.2">
      <c r="BG142" s="27"/>
    </row>
    <row r="143" spans="59:59" x14ac:dyDescent="0.2">
      <c r="BG143" s="27"/>
    </row>
    <row r="144" spans="59:59" x14ac:dyDescent="0.2">
      <c r="BG144" s="27"/>
    </row>
    <row r="145" spans="59:59" x14ac:dyDescent="0.2">
      <c r="BG145" s="27"/>
    </row>
    <row r="146" spans="59:59" x14ac:dyDescent="0.2">
      <c r="BG146" s="27"/>
    </row>
    <row r="147" spans="59:59" x14ac:dyDescent="0.2">
      <c r="BG147" s="27"/>
    </row>
    <row r="148" spans="59:59" x14ac:dyDescent="0.2">
      <c r="BG148" s="27"/>
    </row>
    <row r="149" spans="59:59" x14ac:dyDescent="0.2">
      <c r="BG149" s="27"/>
    </row>
    <row r="150" spans="59:59" x14ac:dyDescent="0.2">
      <c r="BG150" s="27"/>
    </row>
    <row r="151" spans="59:59" x14ac:dyDescent="0.2">
      <c r="BG151" s="27"/>
    </row>
    <row r="152" spans="59:59" x14ac:dyDescent="0.2">
      <c r="BG152" s="27"/>
    </row>
    <row r="153" spans="59:59" x14ac:dyDescent="0.2">
      <c r="BG153" s="27"/>
    </row>
    <row r="154" spans="59:59" x14ac:dyDescent="0.2">
      <c r="BG154" s="27"/>
    </row>
    <row r="155" spans="59:59" x14ac:dyDescent="0.2">
      <c r="BG155" s="27"/>
    </row>
    <row r="156" spans="59:59" x14ac:dyDescent="0.2">
      <c r="BG156" s="27"/>
    </row>
    <row r="157" spans="59:59" x14ac:dyDescent="0.2">
      <c r="BG157" s="27"/>
    </row>
    <row r="158" spans="59:59" x14ac:dyDescent="0.2">
      <c r="BG158" s="27"/>
    </row>
    <row r="159" spans="59:59" x14ac:dyDescent="0.2">
      <c r="BG159" s="27"/>
    </row>
    <row r="160" spans="59:59" x14ac:dyDescent="0.2">
      <c r="BG160" s="27"/>
    </row>
    <row r="161" spans="59:59" x14ac:dyDescent="0.2">
      <c r="BG161" s="27"/>
    </row>
    <row r="162" spans="59:59" x14ac:dyDescent="0.2">
      <c r="BG162" s="27"/>
    </row>
    <row r="163" spans="59:59" x14ac:dyDescent="0.2">
      <c r="BG163" s="27"/>
    </row>
    <row r="164" spans="59:59" x14ac:dyDescent="0.2">
      <c r="BG164" s="27"/>
    </row>
    <row r="165" spans="59:59" x14ac:dyDescent="0.2">
      <c r="BG165" s="27"/>
    </row>
    <row r="166" spans="59:59" x14ac:dyDescent="0.2">
      <c r="BG166" s="27"/>
    </row>
    <row r="167" spans="59:59" x14ac:dyDescent="0.2">
      <c r="BG167" s="27"/>
    </row>
    <row r="168" spans="59:59" x14ac:dyDescent="0.2">
      <c r="BG168" s="27"/>
    </row>
    <row r="169" spans="59:59" x14ac:dyDescent="0.2">
      <c r="BG169" s="27"/>
    </row>
    <row r="170" spans="59:59" x14ac:dyDescent="0.2">
      <c r="BG170" s="27"/>
    </row>
    <row r="171" spans="59:59" x14ac:dyDescent="0.2">
      <c r="BG171" s="27"/>
    </row>
    <row r="172" spans="59:59" x14ac:dyDescent="0.2">
      <c r="BG172" s="27"/>
    </row>
    <row r="173" spans="59:59" x14ac:dyDescent="0.2">
      <c r="BG173" s="27"/>
    </row>
    <row r="174" spans="59:59" x14ac:dyDescent="0.2">
      <c r="BG174" s="27"/>
    </row>
    <row r="175" spans="59:59" x14ac:dyDescent="0.2">
      <c r="BG175" s="27"/>
    </row>
    <row r="176" spans="59:59" x14ac:dyDescent="0.2">
      <c r="BG176" s="27"/>
    </row>
    <row r="177" spans="59:59" x14ac:dyDescent="0.2">
      <c r="BG177" s="27"/>
    </row>
    <row r="178" spans="59:59" x14ac:dyDescent="0.2">
      <c r="BG178" s="27"/>
    </row>
    <row r="179" spans="59:59" x14ac:dyDescent="0.2">
      <c r="BG179" s="27"/>
    </row>
    <row r="180" spans="59:59" x14ac:dyDescent="0.2">
      <c r="BG180" s="27"/>
    </row>
    <row r="181" spans="59:59" x14ac:dyDescent="0.2">
      <c r="BG181" s="27"/>
    </row>
    <row r="182" spans="59:59" x14ac:dyDescent="0.2">
      <c r="BG182" s="27"/>
    </row>
    <row r="183" spans="59:59" x14ac:dyDescent="0.2">
      <c r="BG183" s="27"/>
    </row>
    <row r="184" spans="59:59" x14ac:dyDescent="0.2">
      <c r="BG184" s="27"/>
    </row>
    <row r="185" spans="59:59" x14ac:dyDescent="0.2">
      <c r="BG185" s="27"/>
    </row>
    <row r="186" spans="59:59" x14ac:dyDescent="0.2">
      <c r="BG186" s="27"/>
    </row>
    <row r="187" spans="59:59" x14ac:dyDescent="0.2">
      <c r="BG187" s="27"/>
    </row>
    <row r="188" spans="59:59" x14ac:dyDescent="0.2">
      <c r="BG188" s="27"/>
    </row>
    <row r="189" spans="59:59" x14ac:dyDescent="0.2">
      <c r="BG189" s="27"/>
    </row>
    <row r="190" spans="59:59" x14ac:dyDescent="0.2">
      <c r="BG190" s="27"/>
    </row>
    <row r="191" spans="59:59" x14ac:dyDescent="0.2">
      <c r="BG191" s="27"/>
    </row>
    <row r="192" spans="59:59" x14ac:dyDescent="0.2">
      <c r="BG192" s="27"/>
    </row>
    <row r="193" spans="59:59" x14ac:dyDescent="0.2">
      <c r="BG193" s="27"/>
    </row>
    <row r="194" spans="59:59" x14ac:dyDescent="0.2">
      <c r="BG194" s="27"/>
    </row>
    <row r="195" spans="59:59" x14ac:dyDescent="0.2">
      <c r="BG195" s="27"/>
    </row>
    <row r="196" spans="59:59" x14ac:dyDescent="0.2">
      <c r="BG196" s="27"/>
    </row>
    <row r="197" spans="59:59" x14ac:dyDescent="0.2">
      <c r="BG197" s="27"/>
    </row>
    <row r="198" spans="59:59" x14ac:dyDescent="0.2">
      <c r="BG198" s="27"/>
    </row>
    <row r="199" spans="59:59" x14ac:dyDescent="0.2">
      <c r="BG199" s="27"/>
    </row>
    <row r="200" spans="59:59" x14ac:dyDescent="0.2">
      <c r="BG200" s="27"/>
    </row>
    <row r="201" spans="59:59" x14ac:dyDescent="0.2">
      <c r="BG201" s="27"/>
    </row>
    <row r="202" spans="59:59" x14ac:dyDescent="0.2">
      <c r="BG202" s="27"/>
    </row>
    <row r="203" spans="59:59" x14ac:dyDescent="0.2">
      <c r="BG203" s="27"/>
    </row>
    <row r="204" spans="59:59" x14ac:dyDescent="0.2">
      <c r="BG204" s="27"/>
    </row>
    <row r="205" spans="59:59" x14ac:dyDescent="0.2">
      <c r="BG205" s="27"/>
    </row>
    <row r="206" spans="59:59" x14ac:dyDescent="0.2">
      <c r="BG206" s="27"/>
    </row>
    <row r="207" spans="59:59" x14ac:dyDescent="0.2">
      <c r="BG207" s="27"/>
    </row>
    <row r="208" spans="59:59" x14ac:dyDescent="0.2">
      <c r="BG208" s="27"/>
    </row>
    <row r="209" spans="59:59" x14ac:dyDescent="0.2">
      <c r="BG209" s="27"/>
    </row>
    <row r="210" spans="59:59" x14ac:dyDescent="0.2">
      <c r="BG210" s="27"/>
    </row>
    <row r="211" spans="59:59" x14ac:dyDescent="0.2">
      <c r="BG211" s="27"/>
    </row>
    <row r="212" spans="59:59" x14ac:dyDescent="0.2">
      <c r="BG212" s="27"/>
    </row>
    <row r="213" spans="59:59" x14ac:dyDescent="0.2">
      <c r="BG213" s="27"/>
    </row>
    <row r="214" spans="59:59" x14ac:dyDescent="0.2">
      <c r="BG214" s="27"/>
    </row>
    <row r="215" spans="59:59" x14ac:dyDescent="0.2">
      <c r="BG215" s="27"/>
    </row>
    <row r="216" spans="59:59" x14ac:dyDescent="0.2">
      <c r="BG216" s="27"/>
    </row>
    <row r="217" spans="59:59" x14ac:dyDescent="0.2">
      <c r="BG217" s="27"/>
    </row>
    <row r="218" spans="59:59" x14ac:dyDescent="0.2">
      <c r="BG218" s="27"/>
    </row>
    <row r="219" spans="59:59" x14ac:dyDescent="0.2">
      <c r="BG219" s="27"/>
    </row>
    <row r="220" spans="59:59" x14ac:dyDescent="0.2">
      <c r="BG220" s="27"/>
    </row>
    <row r="221" spans="59:59" x14ac:dyDescent="0.2">
      <c r="BG221" s="27"/>
    </row>
    <row r="222" spans="59:59" x14ac:dyDescent="0.2">
      <c r="BG222" s="27"/>
    </row>
    <row r="223" spans="59:59" x14ac:dyDescent="0.2">
      <c r="BG223" s="27"/>
    </row>
    <row r="224" spans="59:59" x14ac:dyDescent="0.2">
      <c r="BG224" s="27"/>
    </row>
    <row r="225" spans="59:59" x14ac:dyDescent="0.2">
      <c r="BG225" s="27"/>
    </row>
    <row r="226" spans="59:59" x14ac:dyDescent="0.2">
      <c r="BG226" s="27"/>
    </row>
    <row r="227" spans="59:59" x14ac:dyDescent="0.2">
      <c r="BG227" s="27"/>
    </row>
    <row r="228" spans="59:59" x14ac:dyDescent="0.2">
      <c r="BG228" s="27"/>
    </row>
    <row r="229" spans="59:59" x14ac:dyDescent="0.2">
      <c r="BG229" s="27"/>
    </row>
    <row r="230" spans="59:59" x14ac:dyDescent="0.2">
      <c r="BG230" s="27"/>
    </row>
    <row r="231" spans="59:59" x14ac:dyDescent="0.2">
      <c r="BG231" s="27"/>
    </row>
    <row r="232" spans="59:59" x14ac:dyDescent="0.2">
      <c r="BG232" s="27"/>
    </row>
    <row r="233" spans="59:59" x14ac:dyDescent="0.2">
      <c r="BG233" s="27"/>
    </row>
    <row r="234" spans="59:59" x14ac:dyDescent="0.2">
      <c r="BG234" s="27"/>
    </row>
    <row r="235" spans="59:59" x14ac:dyDescent="0.2">
      <c r="BG235" s="27"/>
    </row>
    <row r="236" spans="59:59" x14ac:dyDescent="0.2">
      <c r="BG236" s="27"/>
    </row>
    <row r="237" spans="59:59" x14ac:dyDescent="0.2">
      <c r="BG237" s="27"/>
    </row>
    <row r="238" spans="59:59" x14ac:dyDescent="0.2">
      <c r="BG238" s="27"/>
    </row>
    <row r="239" spans="59:59" x14ac:dyDescent="0.2">
      <c r="BG239" s="27"/>
    </row>
    <row r="240" spans="59:59" x14ac:dyDescent="0.2">
      <c r="BG240" s="27"/>
    </row>
    <row r="241" spans="59:59" x14ac:dyDescent="0.2">
      <c r="BG241" s="27"/>
    </row>
    <row r="242" spans="59:59" x14ac:dyDescent="0.2">
      <c r="BG242" s="27"/>
    </row>
    <row r="243" spans="59:59" x14ac:dyDescent="0.2">
      <c r="BG243" s="27"/>
    </row>
    <row r="244" spans="59:59" x14ac:dyDescent="0.2">
      <c r="BG244" s="27"/>
    </row>
    <row r="245" spans="59:59" x14ac:dyDescent="0.2">
      <c r="BG245" s="27"/>
    </row>
    <row r="246" spans="59:59" x14ac:dyDescent="0.2">
      <c r="BG246" s="27"/>
    </row>
    <row r="247" spans="59:59" x14ac:dyDescent="0.2">
      <c r="BG247" s="27"/>
    </row>
    <row r="248" spans="59:59" x14ac:dyDescent="0.2">
      <c r="BG248" s="27"/>
    </row>
    <row r="249" spans="59:59" x14ac:dyDescent="0.2">
      <c r="BG249" s="27"/>
    </row>
    <row r="250" spans="59:59" x14ac:dyDescent="0.2">
      <c r="BG250" s="27"/>
    </row>
    <row r="251" spans="59:59" x14ac:dyDescent="0.2">
      <c r="BG251" s="27"/>
    </row>
    <row r="252" spans="59:59" x14ac:dyDescent="0.2">
      <c r="BG252" s="27"/>
    </row>
    <row r="253" spans="59:59" x14ac:dyDescent="0.2">
      <c r="BG253" s="27"/>
    </row>
    <row r="254" spans="59:59" x14ac:dyDescent="0.2">
      <c r="BG254" s="27"/>
    </row>
    <row r="255" spans="59:59" x14ac:dyDescent="0.2">
      <c r="BG255" s="27"/>
    </row>
    <row r="256" spans="59:59" x14ac:dyDescent="0.2">
      <c r="BG256" s="27"/>
    </row>
    <row r="257" spans="59:59" x14ac:dyDescent="0.2">
      <c r="BG257" s="27"/>
    </row>
    <row r="258" spans="59:59" x14ac:dyDescent="0.2">
      <c r="BG258" s="27"/>
    </row>
    <row r="259" spans="59:59" x14ac:dyDescent="0.2">
      <c r="BG259" s="27"/>
    </row>
    <row r="260" spans="59:59" x14ac:dyDescent="0.2">
      <c r="BG260" s="27"/>
    </row>
    <row r="261" spans="59:59" x14ac:dyDescent="0.2">
      <c r="BG261" s="27"/>
    </row>
    <row r="262" spans="59:59" x14ac:dyDescent="0.2">
      <c r="BG262" s="27"/>
    </row>
    <row r="263" spans="59:59" x14ac:dyDescent="0.2">
      <c r="BG263" s="27"/>
    </row>
    <row r="264" spans="59:59" x14ac:dyDescent="0.2">
      <c r="BG264" s="27"/>
    </row>
    <row r="265" spans="59:59" x14ac:dyDescent="0.2">
      <c r="BG265" s="27"/>
    </row>
    <row r="266" spans="59:59" x14ac:dyDescent="0.2">
      <c r="BG266" s="27"/>
    </row>
    <row r="267" spans="59:59" x14ac:dyDescent="0.2">
      <c r="BG267" s="27"/>
    </row>
    <row r="268" spans="59:59" x14ac:dyDescent="0.2">
      <c r="BG268" s="27"/>
    </row>
    <row r="269" spans="59:59" x14ac:dyDescent="0.2">
      <c r="BG269" s="27"/>
    </row>
    <row r="270" spans="59:59" x14ac:dyDescent="0.2">
      <c r="BG270" s="27"/>
    </row>
    <row r="271" spans="59:59" x14ac:dyDescent="0.2">
      <c r="BG271" s="27"/>
    </row>
    <row r="272" spans="59:59" x14ac:dyDescent="0.2">
      <c r="BG272" s="27"/>
    </row>
    <row r="273" spans="59:59" x14ac:dyDescent="0.2">
      <c r="BG273" s="27"/>
    </row>
    <row r="274" spans="59:59" x14ac:dyDescent="0.2">
      <c r="BG274" s="27"/>
    </row>
    <row r="275" spans="59:59" x14ac:dyDescent="0.2">
      <c r="BG275" s="27"/>
    </row>
    <row r="276" spans="59:59" x14ac:dyDescent="0.2">
      <c r="BG276" s="27"/>
    </row>
    <row r="277" spans="59:59" x14ac:dyDescent="0.2">
      <c r="BG277" s="27"/>
    </row>
    <row r="278" spans="59:59" x14ac:dyDescent="0.2">
      <c r="BG278" s="27"/>
    </row>
    <row r="279" spans="59:59" x14ac:dyDescent="0.2">
      <c r="BG279" s="27"/>
    </row>
    <row r="280" spans="59:59" x14ac:dyDescent="0.2">
      <c r="BG280" s="27"/>
    </row>
    <row r="281" spans="59:59" x14ac:dyDescent="0.2">
      <c r="BG281" s="27"/>
    </row>
    <row r="282" spans="59:59" x14ac:dyDescent="0.2">
      <c r="BG282" s="27"/>
    </row>
    <row r="283" spans="59:59" x14ac:dyDescent="0.2">
      <c r="BG283" s="27"/>
    </row>
    <row r="284" spans="59:59" x14ac:dyDescent="0.2">
      <c r="BG284" s="27"/>
    </row>
    <row r="285" spans="59:59" x14ac:dyDescent="0.2">
      <c r="BG285" s="27"/>
    </row>
    <row r="286" spans="59:59" x14ac:dyDescent="0.2">
      <c r="BG286" s="27"/>
    </row>
    <row r="287" spans="59:59" x14ac:dyDescent="0.2">
      <c r="BG287" s="27"/>
    </row>
    <row r="288" spans="59:59" x14ac:dyDescent="0.2">
      <c r="BG288" s="27"/>
    </row>
    <row r="289" spans="59:59" x14ac:dyDescent="0.2">
      <c r="BG289" s="27"/>
    </row>
    <row r="290" spans="59:59" x14ac:dyDescent="0.2">
      <c r="BG290" s="27"/>
    </row>
    <row r="291" spans="59:59" x14ac:dyDescent="0.2">
      <c r="BG291" s="27"/>
    </row>
    <row r="292" spans="59:59" x14ac:dyDescent="0.2">
      <c r="BG292" s="27"/>
    </row>
    <row r="293" spans="59:59" x14ac:dyDescent="0.2">
      <c r="BG293" s="27"/>
    </row>
    <row r="294" spans="59:59" x14ac:dyDescent="0.2">
      <c r="BG294" s="27"/>
    </row>
    <row r="295" spans="59:59" x14ac:dyDescent="0.2">
      <c r="BG295" s="27"/>
    </row>
    <row r="296" spans="59:59" x14ac:dyDescent="0.2">
      <c r="BG296" s="27"/>
    </row>
    <row r="297" spans="59:59" x14ac:dyDescent="0.2">
      <c r="BG297" s="27"/>
    </row>
    <row r="298" spans="59:59" x14ac:dyDescent="0.2">
      <c r="BG298" s="27"/>
    </row>
    <row r="299" spans="59:59" x14ac:dyDescent="0.2">
      <c r="BG299" s="27"/>
    </row>
    <row r="300" spans="59:59" x14ac:dyDescent="0.2">
      <c r="BG300" s="27"/>
    </row>
    <row r="301" spans="59:59" x14ac:dyDescent="0.2">
      <c r="BG301" s="27"/>
    </row>
    <row r="302" spans="59:59" x14ac:dyDescent="0.2">
      <c r="BG302" s="27"/>
    </row>
    <row r="303" spans="59:59" x14ac:dyDescent="0.2">
      <c r="BG303" s="27"/>
    </row>
    <row r="304" spans="59:59" x14ac:dyDescent="0.2">
      <c r="BG304" s="27"/>
    </row>
    <row r="305" spans="59:59" x14ac:dyDescent="0.2">
      <c r="BG305" s="27"/>
    </row>
    <row r="306" spans="59:59" x14ac:dyDescent="0.2">
      <c r="BG306" s="27"/>
    </row>
    <row r="307" spans="59:59" x14ac:dyDescent="0.2">
      <c r="BG307" s="27"/>
    </row>
    <row r="308" spans="59:59" x14ac:dyDescent="0.2">
      <c r="BG308" s="27"/>
    </row>
    <row r="309" spans="59:59" x14ac:dyDescent="0.2">
      <c r="BG309" s="27"/>
    </row>
    <row r="310" spans="59:59" x14ac:dyDescent="0.2">
      <c r="BG310" s="27"/>
    </row>
    <row r="311" spans="59:59" x14ac:dyDescent="0.2">
      <c r="BG311" s="27"/>
    </row>
    <row r="312" spans="59:59" x14ac:dyDescent="0.2">
      <c r="BG312" s="27"/>
    </row>
    <row r="313" spans="59:59" x14ac:dyDescent="0.2">
      <c r="BG313" s="27"/>
    </row>
    <row r="314" spans="59:59" x14ac:dyDescent="0.2">
      <c r="BG314" s="27"/>
    </row>
    <row r="315" spans="59:59" x14ac:dyDescent="0.2">
      <c r="BG315" s="27"/>
    </row>
    <row r="316" spans="59:59" x14ac:dyDescent="0.2">
      <c r="BG316" s="27"/>
    </row>
    <row r="317" spans="59:59" x14ac:dyDescent="0.2">
      <c r="BG317" s="27"/>
    </row>
    <row r="318" spans="59:59" x14ac:dyDescent="0.2">
      <c r="BG318" s="27"/>
    </row>
    <row r="319" spans="59:59" x14ac:dyDescent="0.2">
      <c r="BG319" s="27"/>
    </row>
    <row r="320" spans="59:59" x14ac:dyDescent="0.2">
      <c r="BG320" s="27"/>
    </row>
    <row r="321" spans="59:59" x14ac:dyDescent="0.2">
      <c r="BG321" s="27"/>
    </row>
    <row r="322" spans="59:59" x14ac:dyDescent="0.2">
      <c r="BG322" s="27"/>
    </row>
    <row r="323" spans="59:59" x14ac:dyDescent="0.2">
      <c r="BG323" s="27"/>
    </row>
    <row r="324" spans="59:59" x14ac:dyDescent="0.2">
      <c r="BG324" s="27"/>
    </row>
    <row r="325" spans="59:59" x14ac:dyDescent="0.2">
      <c r="BG325" s="27"/>
    </row>
    <row r="326" spans="59:59" x14ac:dyDescent="0.2">
      <c r="BG326" s="27"/>
    </row>
    <row r="327" spans="59:59" x14ac:dyDescent="0.2">
      <c r="BG327" s="27"/>
    </row>
    <row r="328" spans="59:59" x14ac:dyDescent="0.2">
      <c r="BG328" s="27"/>
    </row>
    <row r="329" spans="59:59" x14ac:dyDescent="0.2">
      <c r="BG329" s="27"/>
    </row>
    <row r="330" spans="59:59" x14ac:dyDescent="0.2">
      <c r="BG330" s="27"/>
    </row>
    <row r="331" spans="59:59" x14ac:dyDescent="0.2">
      <c r="BG331" s="27"/>
    </row>
    <row r="332" spans="59:59" x14ac:dyDescent="0.2">
      <c r="BG332" s="27"/>
    </row>
    <row r="333" spans="59:59" x14ac:dyDescent="0.2">
      <c r="BG333" s="27"/>
    </row>
    <row r="334" spans="59:59" x14ac:dyDescent="0.2">
      <c r="BG334" s="27"/>
    </row>
    <row r="335" spans="59:59" x14ac:dyDescent="0.2">
      <c r="BG335" s="27"/>
    </row>
    <row r="336" spans="59:59" x14ac:dyDescent="0.2">
      <c r="BG336" s="27"/>
    </row>
    <row r="337" spans="59:59" x14ac:dyDescent="0.2">
      <c r="BG337" s="27"/>
    </row>
    <row r="338" spans="59:59" x14ac:dyDescent="0.2">
      <c r="BG338" s="27"/>
    </row>
    <row r="339" spans="59:59" x14ac:dyDescent="0.2">
      <c r="BG339" s="27"/>
    </row>
    <row r="340" spans="59:59" x14ac:dyDescent="0.2">
      <c r="BG340" s="27"/>
    </row>
    <row r="341" spans="59:59" x14ac:dyDescent="0.2">
      <c r="BG341" s="27"/>
    </row>
    <row r="342" spans="59:59" x14ac:dyDescent="0.2">
      <c r="BG342" s="27"/>
    </row>
    <row r="343" spans="59:59" x14ac:dyDescent="0.2">
      <c r="BG343" s="27"/>
    </row>
    <row r="344" spans="59:59" x14ac:dyDescent="0.2">
      <c r="BG344" s="27"/>
    </row>
    <row r="345" spans="59:59" x14ac:dyDescent="0.2">
      <c r="BG345" s="27"/>
    </row>
    <row r="346" spans="59:59" x14ac:dyDescent="0.2">
      <c r="BG346" s="27"/>
    </row>
    <row r="347" spans="59:59" x14ac:dyDescent="0.2">
      <c r="BG347" s="27"/>
    </row>
    <row r="348" spans="59:59" x14ac:dyDescent="0.2">
      <c r="BG348" s="27"/>
    </row>
    <row r="349" spans="59:59" x14ac:dyDescent="0.2">
      <c r="BG349" s="27"/>
    </row>
    <row r="350" spans="59:59" x14ac:dyDescent="0.2">
      <c r="BG350" s="27"/>
    </row>
    <row r="351" spans="59:59" x14ac:dyDescent="0.2">
      <c r="BG351" s="27"/>
    </row>
    <row r="352" spans="59:59" x14ac:dyDescent="0.2">
      <c r="BG352" s="27"/>
    </row>
    <row r="353" spans="59:59" x14ac:dyDescent="0.2">
      <c r="BG353" s="27"/>
    </row>
    <row r="354" spans="59:59" x14ac:dyDescent="0.2">
      <c r="BG354" s="27"/>
    </row>
    <row r="355" spans="59:59" x14ac:dyDescent="0.2">
      <c r="BG355" s="27"/>
    </row>
    <row r="356" spans="59:59" x14ac:dyDescent="0.2">
      <c r="BG356" s="27"/>
    </row>
    <row r="357" spans="59:59" x14ac:dyDescent="0.2">
      <c r="BG357" s="27"/>
    </row>
    <row r="358" spans="59:59" x14ac:dyDescent="0.2">
      <c r="BG358" s="27"/>
    </row>
    <row r="359" spans="59:59" x14ac:dyDescent="0.2">
      <c r="BG359" s="27"/>
    </row>
    <row r="360" spans="59:59" x14ac:dyDescent="0.2">
      <c r="BG360" s="27"/>
    </row>
    <row r="361" spans="59:59" x14ac:dyDescent="0.2">
      <c r="BG361" s="27"/>
    </row>
    <row r="362" spans="59:59" x14ac:dyDescent="0.2">
      <c r="BG362" s="27"/>
    </row>
    <row r="363" spans="59:59" x14ac:dyDescent="0.2">
      <c r="BG363" s="27"/>
    </row>
    <row r="364" spans="59:59" x14ac:dyDescent="0.2">
      <c r="BG364" s="27"/>
    </row>
    <row r="365" spans="59:59" x14ac:dyDescent="0.2">
      <c r="BG365" s="27"/>
    </row>
    <row r="366" spans="59:59" x14ac:dyDescent="0.2">
      <c r="BG366" s="27"/>
    </row>
    <row r="367" spans="59:59" x14ac:dyDescent="0.2">
      <c r="BG367" s="27"/>
    </row>
    <row r="368" spans="59:59" x14ac:dyDescent="0.2">
      <c r="BG368" s="27"/>
    </row>
    <row r="369" spans="59:59" x14ac:dyDescent="0.2">
      <c r="BG369" s="27"/>
    </row>
    <row r="370" spans="59:59" x14ac:dyDescent="0.2">
      <c r="BG370" s="27"/>
    </row>
    <row r="371" spans="59:59" x14ac:dyDescent="0.2">
      <c r="BG371" s="27"/>
    </row>
    <row r="372" spans="59:59" x14ac:dyDescent="0.2">
      <c r="BG372" s="27"/>
    </row>
    <row r="373" spans="59:59" x14ac:dyDescent="0.2">
      <c r="BG373" s="27"/>
    </row>
    <row r="374" spans="59:59" x14ac:dyDescent="0.2">
      <c r="BG374" s="27"/>
    </row>
    <row r="375" spans="59:59" x14ac:dyDescent="0.2">
      <c r="BG375" s="27"/>
    </row>
    <row r="376" spans="59:59" x14ac:dyDescent="0.2">
      <c r="BG376" s="27"/>
    </row>
    <row r="377" spans="59:59" x14ac:dyDescent="0.2">
      <c r="BG377" s="27"/>
    </row>
    <row r="378" spans="59:59" x14ac:dyDescent="0.2">
      <c r="BG378" s="27"/>
    </row>
    <row r="379" spans="59:59" x14ac:dyDescent="0.2">
      <c r="BG379" s="27"/>
    </row>
    <row r="380" spans="59:59" x14ac:dyDescent="0.2">
      <c r="BG380" s="27"/>
    </row>
    <row r="381" spans="59:59" x14ac:dyDescent="0.2">
      <c r="BG381" s="27"/>
    </row>
    <row r="382" spans="59:59" x14ac:dyDescent="0.2">
      <c r="BG382" s="27"/>
    </row>
    <row r="383" spans="59:59" x14ac:dyDescent="0.2">
      <c r="BG383" s="27"/>
    </row>
    <row r="384" spans="59:59" x14ac:dyDescent="0.2">
      <c r="BG384" s="27"/>
    </row>
    <row r="385" spans="59:59" x14ac:dyDescent="0.2">
      <c r="BG385" s="27"/>
    </row>
    <row r="386" spans="59:59" x14ac:dyDescent="0.2">
      <c r="BG386" s="27"/>
    </row>
    <row r="387" spans="59:59" x14ac:dyDescent="0.2">
      <c r="BG387" s="27"/>
    </row>
    <row r="388" spans="59:59" x14ac:dyDescent="0.2">
      <c r="BG388" s="27"/>
    </row>
    <row r="389" spans="59:59" x14ac:dyDescent="0.2">
      <c r="BG389" s="27"/>
    </row>
    <row r="390" spans="59:59" x14ac:dyDescent="0.2">
      <c r="BG390" s="27"/>
    </row>
    <row r="391" spans="59:59" x14ac:dyDescent="0.2">
      <c r="BG391" s="27"/>
    </row>
    <row r="392" spans="59:59" x14ac:dyDescent="0.2">
      <c r="BG392" s="27"/>
    </row>
    <row r="393" spans="59:59" x14ac:dyDescent="0.2">
      <c r="BG393" s="27"/>
    </row>
    <row r="394" spans="59:59" x14ac:dyDescent="0.2">
      <c r="BG394" s="27"/>
    </row>
    <row r="395" spans="59:59" x14ac:dyDescent="0.2">
      <c r="BG395" s="27"/>
    </row>
    <row r="396" spans="59:59" x14ac:dyDescent="0.2">
      <c r="BG396" s="27"/>
    </row>
    <row r="397" spans="59:59" x14ac:dyDescent="0.2">
      <c r="BG397" s="27"/>
    </row>
    <row r="398" spans="59:59" x14ac:dyDescent="0.2">
      <c r="BG398" s="27"/>
    </row>
    <row r="399" spans="59:59" x14ac:dyDescent="0.2">
      <c r="BG399" s="27"/>
    </row>
    <row r="400" spans="59:59" x14ac:dyDescent="0.2">
      <c r="BG400" s="27"/>
    </row>
    <row r="401" spans="59:59" x14ac:dyDescent="0.2">
      <c r="BG401" s="27"/>
    </row>
    <row r="402" spans="59:59" x14ac:dyDescent="0.2">
      <c r="BG402" s="27"/>
    </row>
    <row r="403" spans="59:59" x14ac:dyDescent="0.2">
      <c r="BG403" s="27"/>
    </row>
    <row r="404" spans="59:59" x14ac:dyDescent="0.2">
      <c r="BG404" s="27"/>
    </row>
    <row r="405" spans="59:59" x14ac:dyDescent="0.2">
      <c r="BG405" s="27"/>
    </row>
    <row r="406" spans="59:59" x14ac:dyDescent="0.2">
      <c r="BG406" s="27"/>
    </row>
    <row r="407" spans="59:59" x14ac:dyDescent="0.2">
      <c r="BG407" s="27"/>
    </row>
    <row r="408" spans="59:59" x14ac:dyDescent="0.2">
      <c r="BG408" s="27"/>
    </row>
    <row r="409" spans="59:59" x14ac:dyDescent="0.2">
      <c r="BG409" s="27"/>
    </row>
    <row r="410" spans="59:59" x14ac:dyDescent="0.2">
      <c r="BG410" s="27"/>
    </row>
    <row r="411" spans="59:59" x14ac:dyDescent="0.2">
      <c r="BG411" s="27"/>
    </row>
    <row r="412" spans="59:59" x14ac:dyDescent="0.2">
      <c r="BG412" s="27"/>
    </row>
    <row r="413" spans="59:59" x14ac:dyDescent="0.2">
      <c r="BG413" s="27"/>
    </row>
    <row r="414" spans="59:59" x14ac:dyDescent="0.2">
      <c r="BG414" s="27"/>
    </row>
    <row r="415" spans="59:59" x14ac:dyDescent="0.2">
      <c r="BG415" s="27"/>
    </row>
    <row r="416" spans="59:59" x14ac:dyDescent="0.2">
      <c r="BG416" s="27"/>
    </row>
    <row r="417" spans="59:59" x14ac:dyDescent="0.2">
      <c r="BG417" s="27"/>
    </row>
    <row r="418" spans="59:59" x14ac:dyDescent="0.2">
      <c r="BG418" s="27"/>
    </row>
    <row r="419" spans="59:59" x14ac:dyDescent="0.2">
      <c r="BG419" s="27"/>
    </row>
    <row r="420" spans="59:59" x14ac:dyDescent="0.2">
      <c r="BG420" s="27"/>
    </row>
    <row r="421" spans="59:59" x14ac:dyDescent="0.2">
      <c r="BG421" s="27"/>
    </row>
    <row r="422" spans="59:59" x14ac:dyDescent="0.2">
      <c r="BG422" s="27"/>
    </row>
    <row r="423" spans="59:59" x14ac:dyDescent="0.2">
      <c r="BG423" s="27"/>
    </row>
    <row r="424" spans="59:59" x14ac:dyDescent="0.2">
      <c r="BG424" s="27"/>
    </row>
    <row r="425" spans="59:59" x14ac:dyDescent="0.2">
      <c r="BG425" s="27"/>
    </row>
    <row r="426" spans="59:59" x14ac:dyDescent="0.2">
      <c r="BG426" s="27"/>
    </row>
    <row r="427" spans="59:59" x14ac:dyDescent="0.2">
      <c r="BG427" s="27"/>
    </row>
    <row r="428" spans="59:59" x14ac:dyDescent="0.2">
      <c r="BG428" s="27"/>
    </row>
    <row r="429" spans="59:59" x14ac:dyDescent="0.2">
      <c r="BG429" s="27"/>
    </row>
    <row r="430" spans="59:59" x14ac:dyDescent="0.2">
      <c r="BG430" s="27"/>
    </row>
    <row r="431" spans="59:59" x14ac:dyDescent="0.2">
      <c r="BG431" s="27"/>
    </row>
    <row r="432" spans="59:59" x14ac:dyDescent="0.2">
      <c r="BG432" s="27"/>
    </row>
    <row r="433" spans="59:59" x14ac:dyDescent="0.2">
      <c r="BG433" s="27"/>
    </row>
    <row r="434" spans="59:59" x14ac:dyDescent="0.2">
      <c r="BG434" s="27"/>
    </row>
    <row r="435" spans="59:59" x14ac:dyDescent="0.2">
      <c r="BG435" s="27"/>
    </row>
    <row r="436" spans="59:59" x14ac:dyDescent="0.2">
      <c r="BG436" s="27"/>
    </row>
    <row r="437" spans="59:59" x14ac:dyDescent="0.2">
      <c r="BG437" s="27"/>
    </row>
    <row r="438" spans="59:59" x14ac:dyDescent="0.2">
      <c r="BG438" s="27"/>
    </row>
    <row r="439" spans="59:59" x14ac:dyDescent="0.2">
      <c r="BG439" s="27"/>
    </row>
    <row r="440" spans="59:59" x14ac:dyDescent="0.2">
      <c r="BG440" s="27"/>
    </row>
    <row r="441" spans="59:59" x14ac:dyDescent="0.2">
      <c r="BG441" s="27"/>
    </row>
    <row r="442" spans="59:59" x14ac:dyDescent="0.2">
      <c r="BG442" s="27"/>
    </row>
    <row r="443" spans="59:59" x14ac:dyDescent="0.2">
      <c r="BG443" s="27"/>
    </row>
    <row r="444" spans="59:59" x14ac:dyDescent="0.2">
      <c r="BG444" s="27"/>
    </row>
    <row r="445" spans="59:59" x14ac:dyDescent="0.2">
      <c r="BG445" s="27"/>
    </row>
    <row r="446" spans="59:59" x14ac:dyDescent="0.2">
      <c r="BG446" s="27"/>
    </row>
    <row r="447" spans="59:59" x14ac:dyDescent="0.2">
      <c r="BG447" s="27"/>
    </row>
    <row r="448" spans="59:59" x14ac:dyDescent="0.2">
      <c r="BG448" s="27"/>
    </row>
    <row r="449" spans="59:59" x14ac:dyDescent="0.2">
      <c r="BG449" s="27"/>
    </row>
    <row r="450" spans="59:59" x14ac:dyDescent="0.2">
      <c r="BG450" s="27"/>
    </row>
    <row r="451" spans="59:59" x14ac:dyDescent="0.2">
      <c r="BG451" s="27"/>
    </row>
    <row r="452" spans="59:59" x14ac:dyDescent="0.2">
      <c r="BG452" s="27"/>
    </row>
    <row r="453" spans="59:59" x14ac:dyDescent="0.2">
      <c r="BG453" s="27"/>
    </row>
    <row r="454" spans="59:59" x14ac:dyDescent="0.2">
      <c r="BG454" s="27"/>
    </row>
    <row r="455" spans="59:59" x14ac:dyDescent="0.2">
      <c r="BG455" s="27"/>
    </row>
    <row r="456" spans="59:59" x14ac:dyDescent="0.2">
      <c r="BG456" s="27"/>
    </row>
    <row r="457" spans="59:59" x14ac:dyDescent="0.2">
      <c r="BG457" s="27"/>
    </row>
    <row r="458" spans="59:59" x14ac:dyDescent="0.2">
      <c r="BG458" s="27"/>
    </row>
    <row r="459" spans="59:59" x14ac:dyDescent="0.2">
      <c r="BG459" s="27"/>
    </row>
    <row r="460" spans="59:59" x14ac:dyDescent="0.2">
      <c r="BG460" s="27"/>
    </row>
    <row r="461" spans="59:59" x14ac:dyDescent="0.2">
      <c r="BG461" s="27"/>
    </row>
    <row r="462" spans="59:59" x14ac:dyDescent="0.2">
      <c r="BG462" s="27"/>
    </row>
    <row r="463" spans="59:59" x14ac:dyDescent="0.2">
      <c r="BG463" s="27"/>
    </row>
    <row r="464" spans="59:59" x14ac:dyDescent="0.2">
      <c r="BG464" s="27"/>
    </row>
    <row r="465" spans="59:59" x14ac:dyDescent="0.2">
      <c r="BG465" s="27"/>
    </row>
    <row r="466" spans="59:59" x14ac:dyDescent="0.2">
      <c r="BG466" s="27"/>
    </row>
    <row r="467" spans="59:59" x14ac:dyDescent="0.2">
      <c r="BG467" s="27"/>
    </row>
    <row r="468" spans="59:59" x14ac:dyDescent="0.2">
      <c r="BG468" s="27"/>
    </row>
    <row r="469" spans="59:59" x14ac:dyDescent="0.2">
      <c r="BG469" s="27"/>
    </row>
    <row r="470" spans="59:59" x14ac:dyDescent="0.2">
      <c r="BG470" s="27"/>
    </row>
    <row r="471" spans="59:59" x14ac:dyDescent="0.2">
      <c r="BG471" s="27"/>
    </row>
    <row r="472" spans="59:59" x14ac:dyDescent="0.2">
      <c r="BG472" s="27"/>
    </row>
    <row r="473" spans="59:59" x14ac:dyDescent="0.2">
      <c r="BG473" s="27"/>
    </row>
    <row r="474" spans="59:59" x14ac:dyDescent="0.2">
      <c r="BG474" s="27"/>
    </row>
    <row r="475" spans="59:59" x14ac:dyDescent="0.2">
      <c r="BG475" s="27"/>
    </row>
    <row r="476" spans="59:59" x14ac:dyDescent="0.2">
      <c r="BG476" s="27"/>
    </row>
    <row r="477" spans="59:59" x14ac:dyDescent="0.2">
      <c r="BG477" s="27"/>
    </row>
    <row r="478" spans="59:59" x14ac:dyDescent="0.2">
      <c r="BG478" s="27"/>
    </row>
    <row r="479" spans="59:59" x14ac:dyDescent="0.2">
      <c r="BG479" s="27"/>
    </row>
    <row r="480" spans="59:59" x14ac:dyDescent="0.2">
      <c r="BG480" s="27"/>
    </row>
    <row r="481" spans="59:59" x14ac:dyDescent="0.2">
      <c r="BG481" s="27"/>
    </row>
    <row r="482" spans="59:59" x14ac:dyDescent="0.2">
      <c r="BG482" s="27"/>
    </row>
    <row r="483" spans="59:59" x14ac:dyDescent="0.2">
      <c r="BG483" s="27"/>
    </row>
    <row r="484" spans="59:59" x14ac:dyDescent="0.2">
      <c r="BG484" s="27"/>
    </row>
    <row r="485" spans="59:59" x14ac:dyDescent="0.2">
      <c r="BG485" s="27"/>
    </row>
    <row r="486" spans="59:59" x14ac:dyDescent="0.2">
      <c r="BG486" s="27"/>
    </row>
    <row r="487" spans="59:59" x14ac:dyDescent="0.2">
      <c r="BG487" s="27"/>
    </row>
    <row r="488" spans="59:59" x14ac:dyDescent="0.2">
      <c r="BG488" s="27"/>
    </row>
    <row r="489" spans="59:59" x14ac:dyDescent="0.2">
      <c r="BG489" s="27"/>
    </row>
    <row r="490" spans="59:59" x14ac:dyDescent="0.2">
      <c r="BG490" s="27"/>
    </row>
    <row r="491" spans="59:59" x14ac:dyDescent="0.2">
      <c r="BG491" s="27"/>
    </row>
    <row r="492" spans="59:59" x14ac:dyDescent="0.2">
      <c r="BG492" s="27"/>
    </row>
    <row r="493" spans="59:59" x14ac:dyDescent="0.2">
      <c r="BG493" s="27"/>
    </row>
    <row r="494" spans="59:59" x14ac:dyDescent="0.2">
      <c r="BG494" s="27"/>
    </row>
    <row r="495" spans="59:59" x14ac:dyDescent="0.2">
      <c r="BG495" s="27"/>
    </row>
    <row r="496" spans="59:59" x14ac:dyDescent="0.2">
      <c r="BG496" s="27"/>
    </row>
    <row r="497" spans="59:59" x14ac:dyDescent="0.2">
      <c r="BG497" s="27"/>
    </row>
    <row r="498" spans="59:59" x14ac:dyDescent="0.2">
      <c r="BG498" s="27"/>
    </row>
    <row r="499" spans="59:59" x14ac:dyDescent="0.2">
      <c r="BG499" s="27"/>
    </row>
    <row r="500" spans="59:59" x14ac:dyDescent="0.2">
      <c r="BG500" s="27"/>
    </row>
    <row r="501" spans="59:59" x14ac:dyDescent="0.2">
      <c r="BG501" s="27"/>
    </row>
    <row r="502" spans="59:59" x14ac:dyDescent="0.2">
      <c r="BG502" s="27"/>
    </row>
    <row r="503" spans="59:59" x14ac:dyDescent="0.2">
      <c r="BG503" s="27"/>
    </row>
    <row r="504" spans="59:59" x14ac:dyDescent="0.2">
      <c r="BG504" s="27"/>
    </row>
    <row r="505" spans="59:59" x14ac:dyDescent="0.2">
      <c r="BG505" s="27"/>
    </row>
    <row r="506" spans="59:59" x14ac:dyDescent="0.2">
      <c r="BG506" s="27"/>
    </row>
    <row r="507" spans="59:59" x14ac:dyDescent="0.2">
      <c r="BG507" s="27"/>
    </row>
    <row r="508" spans="59:59" x14ac:dyDescent="0.2">
      <c r="BG508" s="27"/>
    </row>
    <row r="509" spans="59:59" x14ac:dyDescent="0.2">
      <c r="BG509" s="27"/>
    </row>
    <row r="510" spans="59:59" x14ac:dyDescent="0.2">
      <c r="BG510" s="27"/>
    </row>
    <row r="511" spans="59:59" x14ac:dyDescent="0.2">
      <c r="BG511" s="27"/>
    </row>
    <row r="512" spans="59:59" x14ac:dyDescent="0.2">
      <c r="BG512" s="27"/>
    </row>
    <row r="513" spans="59:59" x14ac:dyDescent="0.2">
      <c r="BG513" s="27"/>
    </row>
    <row r="514" spans="59:59" x14ac:dyDescent="0.2">
      <c r="BG514" s="27"/>
    </row>
    <row r="515" spans="59:59" x14ac:dyDescent="0.2">
      <c r="BG515" s="27"/>
    </row>
    <row r="516" spans="59:59" x14ac:dyDescent="0.2">
      <c r="BG516" s="27"/>
    </row>
    <row r="517" spans="59:59" x14ac:dyDescent="0.2">
      <c r="BG517" s="27"/>
    </row>
    <row r="518" spans="59:59" x14ac:dyDescent="0.2">
      <c r="BG518" s="27"/>
    </row>
    <row r="519" spans="59:59" x14ac:dyDescent="0.2">
      <c r="BG519" s="27"/>
    </row>
    <row r="520" spans="59:59" x14ac:dyDescent="0.2">
      <c r="BG520" s="27"/>
    </row>
    <row r="521" spans="59:59" x14ac:dyDescent="0.2">
      <c r="BG521" s="27"/>
    </row>
    <row r="522" spans="59:59" x14ac:dyDescent="0.2">
      <c r="BG522" s="27"/>
    </row>
    <row r="523" spans="59:59" x14ac:dyDescent="0.2">
      <c r="BG523" s="27"/>
    </row>
    <row r="524" spans="59:59" x14ac:dyDescent="0.2">
      <c r="BG524" s="27"/>
    </row>
    <row r="525" spans="59:59" x14ac:dyDescent="0.2">
      <c r="BG525" s="27"/>
    </row>
    <row r="526" spans="59:59" x14ac:dyDescent="0.2">
      <c r="BG526" s="27"/>
    </row>
    <row r="527" spans="59:59" x14ac:dyDescent="0.2">
      <c r="BG527" s="27"/>
    </row>
    <row r="528" spans="59:59" x14ac:dyDescent="0.2">
      <c r="BG528" s="27"/>
    </row>
    <row r="529" spans="59:59" x14ac:dyDescent="0.2">
      <c r="BG529" s="27"/>
    </row>
    <row r="530" spans="59:59" x14ac:dyDescent="0.2">
      <c r="BG530" s="27"/>
    </row>
    <row r="531" spans="59:59" x14ac:dyDescent="0.2">
      <c r="BG531" s="27"/>
    </row>
    <row r="532" spans="59:59" x14ac:dyDescent="0.2">
      <c r="BG532" s="27"/>
    </row>
    <row r="533" spans="59:59" x14ac:dyDescent="0.2">
      <c r="BG533" s="27"/>
    </row>
    <row r="534" spans="59:59" x14ac:dyDescent="0.2">
      <c r="BG534" s="27"/>
    </row>
    <row r="535" spans="59:59" x14ac:dyDescent="0.2">
      <c r="BG535" s="27"/>
    </row>
    <row r="536" spans="59:59" x14ac:dyDescent="0.2">
      <c r="BG536" s="27"/>
    </row>
    <row r="537" spans="59:59" x14ac:dyDescent="0.2">
      <c r="BG537" s="27"/>
    </row>
    <row r="538" spans="59:59" x14ac:dyDescent="0.2">
      <c r="BG538" s="27"/>
    </row>
    <row r="539" spans="59:59" x14ac:dyDescent="0.2">
      <c r="BG539" s="27"/>
    </row>
    <row r="540" spans="59:59" x14ac:dyDescent="0.2">
      <c r="BG540" s="27"/>
    </row>
    <row r="541" spans="59:59" x14ac:dyDescent="0.2">
      <c r="BG541" s="27"/>
    </row>
    <row r="542" spans="59:59" x14ac:dyDescent="0.2">
      <c r="BG542" s="27"/>
    </row>
    <row r="543" spans="59:59" x14ac:dyDescent="0.2">
      <c r="BG543" s="27"/>
    </row>
    <row r="544" spans="59:59" x14ac:dyDescent="0.2">
      <c r="BG544" s="27"/>
    </row>
    <row r="545" spans="59:59" x14ac:dyDescent="0.2">
      <c r="BG545" s="27"/>
    </row>
    <row r="546" spans="59:59" x14ac:dyDescent="0.2">
      <c r="BG546" s="27"/>
    </row>
    <row r="547" spans="59:59" x14ac:dyDescent="0.2">
      <c r="BG547" s="27"/>
    </row>
    <row r="548" spans="59:59" x14ac:dyDescent="0.2">
      <c r="BG548" s="27"/>
    </row>
    <row r="549" spans="59:59" x14ac:dyDescent="0.2">
      <c r="BG549" s="27"/>
    </row>
    <row r="550" spans="59:59" x14ac:dyDescent="0.2">
      <c r="BG550" s="27"/>
    </row>
    <row r="551" spans="59:59" x14ac:dyDescent="0.2">
      <c r="BG551" s="27"/>
    </row>
    <row r="552" spans="59:59" x14ac:dyDescent="0.2">
      <c r="BG552" s="27"/>
    </row>
    <row r="553" spans="59:59" x14ac:dyDescent="0.2">
      <c r="BG553" s="27"/>
    </row>
    <row r="554" spans="59:59" x14ac:dyDescent="0.2">
      <c r="BG554" s="27"/>
    </row>
    <row r="555" spans="59:59" x14ac:dyDescent="0.2">
      <c r="BG555" s="27"/>
    </row>
    <row r="556" spans="59:59" x14ac:dyDescent="0.2">
      <c r="BG556" s="27"/>
    </row>
    <row r="557" spans="59:59" x14ac:dyDescent="0.2">
      <c r="BG557" s="27"/>
    </row>
    <row r="558" spans="59:59" x14ac:dyDescent="0.2">
      <c r="BG558" s="27"/>
    </row>
    <row r="559" spans="59:59" x14ac:dyDescent="0.2">
      <c r="BG559" s="27"/>
    </row>
    <row r="560" spans="59:59" x14ac:dyDescent="0.2">
      <c r="BG560" s="27"/>
    </row>
    <row r="561" spans="59:59" x14ac:dyDescent="0.2">
      <c r="BG561" s="27"/>
    </row>
    <row r="562" spans="59:59" x14ac:dyDescent="0.2">
      <c r="BG562" s="27"/>
    </row>
    <row r="563" spans="59:59" x14ac:dyDescent="0.2">
      <c r="BG563" s="27"/>
    </row>
    <row r="564" spans="59:59" x14ac:dyDescent="0.2">
      <c r="BG564" s="27"/>
    </row>
    <row r="565" spans="59:59" x14ac:dyDescent="0.2">
      <c r="BG565" s="27"/>
    </row>
    <row r="566" spans="59:59" x14ac:dyDescent="0.2">
      <c r="BG566" s="27"/>
    </row>
    <row r="567" spans="59:59" x14ac:dyDescent="0.2">
      <c r="BG567" s="27"/>
    </row>
    <row r="568" spans="59:59" x14ac:dyDescent="0.2">
      <c r="BG568" s="27"/>
    </row>
    <row r="569" spans="59:59" x14ac:dyDescent="0.2">
      <c r="BG569" s="27"/>
    </row>
    <row r="570" spans="59:59" x14ac:dyDescent="0.2">
      <c r="BG570" s="27"/>
    </row>
    <row r="571" spans="59:59" x14ac:dyDescent="0.2">
      <c r="BG571" s="27"/>
    </row>
    <row r="572" spans="59:59" x14ac:dyDescent="0.2">
      <c r="BG572" s="27"/>
    </row>
    <row r="573" spans="59:59" x14ac:dyDescent="0.2">
      <c r="BG573" s="27"/>
    </row>
    <row r="574" spans="59:59" x14ac:dyDescent="0.2">
      <c r="BG574" s="27"/>
    </row>
    <row r="575" spans="59:59" x14ac:dyDescent="0.2">
      <c r="BG575" s="27"/>
    </row>
    <row r="576" spans="59:59" x14ac:dyDescent="0.2">
      <c r="BG576" s="27"/>
    </row>
    <row r="577" spans="59:59" x14ac:dyDescent="0.2">
      <c r="BG577" s="27"/>
    </row>
    <row r="578" spans="59:59" x14ac:dyDescent="0.2">
      <c r="BG578" s="27"/>
    </row>
    <row r="579" spans="59:59" x14ac:dyDescent="0.2">
      <c r="BG579" s="27"/>
    </row>
    <row r="580" spans="59:59" x14ac:dyDescent="0.2">
      <c r="BG580" s="27"/>
    </row>
    <row r="581" spans="59:59" x14ac:dyDescent="0.2">
      <c r="BG581" s="27"/>
    </row>
    <row r="582" spans="59:59" x14ac:dyDescent="0.2">
      <c r="BG582" s="27"/>
    </row>
    <row r="583" spans="59:59" x14ac:dyDescent="0.2">
      <c r="BG583" s="27"/>
    </row>
    <row r="584" spans="59:59" x14ac:dyDescent="0.2">
      <c r="BG584" s="27"/>
    </row>
    <row r="585" spans="59:59" x14ac:dyDescent="0.2">
      <c r="BG585" s="27"/>
    </row>
    <row r="586" spans="59:59" x14ac:dyDescent="0.2">
      <c r="BG586" s="27"/>
    </row>
    <row r="587" spans="59:59" x14ac:dyDescent="0.2">
      <c r="BG587" s="27"/>
    </row>
    <row r="588" spans="59:59" x14ac:dyDescent="0.2">
      <c r="BG588" s="27"/>
    </row>
    <row r="589" spans="59:59" x14ac:dyDescent="0.2">
      <c r="BG589" s="27"/>
    </row>
    <row r="590" spans="59:59" x14ac:dyDescent="0.2">
      <c r="BG590" s="27"/>
    </row>
    <row r="591" spans="59:59" x14ac:dyDescent="0.2">
      <c r="BG591" s="27"/>
    </row>
    <row r="592" spans="59:59" x14ac:dyDescent="0.2">
      <c r="BG592" s="27"/>
    </row>
    <row r="593" spans="59:59" x14ac:dyDescent="0.2">
      <c r="BG593" s="27"/>
    </row>
    <row r="594" spans="59:59" x14ac:dyDescent="0.2">
      <c r="BG594" s="27"/>
    </row>
    <row r="595" spans="59:59" x14ac:dyDescent="0.2">
      <c r="BG595" s="27"/>
    </row>
    <row r="596" spans="59:59" x14ac:dyDescent="0.2">
      <c r="BG596" s="27"/>
    </row>
    <row r="597" spans="59:59" x14ac:dyDescent="0.2">
      <c r="BG597" s="27"/>
    </row>
    <row r="598" spans="59:59" x14ac:dyDescent="0.2">
      <c r="BG598" s="27"/>
    </row>
    <row r="599" spans="59:59" x14ac:dyDescent="0.2">
      <c r="BG599" s="27"/>
    </row>
    <row r="600" spans="59:59" x14ac:dyDescent="0.2">
      <c r="BG600" s="27"/>
    </row>
    <row r="601" spans="59:59" x14ac:dyDescent="0.2">
      <c r="BG601" s="27"/>
    </row>
    <row r="602" spans="59:59" x14ac:dyDescent="0.2">
      <c r="BG602" s="27"/>
    </row>
    <row r="603" spans="59:59" x14ac:dyDescent="0.2">
      <c r="BG603" s="27"/>
    </row>
    <row r="604" spans="59:59" x14ac:dyDescent="0.2">
      <c r="BG604" s="27"/>
    </row>
    <row r="605" spans="59:59" x14ac:dyDescent="0.2">
      <c r="BG605" s="27"/>
    </row>
    <row r="606" spans="59:59" x14ac:dyDescent="0.2">
      <c r="BG606" s="27"/>
    </row>
    <row r="607" spans="59:59" x14ac:dyDescent="0.2">
      <c r="BG607" s="27"/>
    </row>
    <row r="608" spans="59:59" x14ac:dyDescent="0.2">
      <c r="BG608" s="27"/>
    </row>
    <row r="609" spans="59:59" x14ac:dyDescent="0.2">
      <c r="BG609" s="27"/>
    </row>
    <row r="610" spans="59:59" x14ac:dyDescent="0.2">
      <c r="BG610" s="27"/>
    </row>
    <row r="611" spans="59:59" x14ac:dyDescent="0.2">
      <c r="BG611" s="27"/>
    </row>
    <row r="612" spans="59:59" x14ac:dyDescent="0.2">
      <c r="BG612" s="27"/>
    </row>
    <row r="613" spans="59:59" x14ac:dyDescent="0.2">
      <c r="BG613" s="27"/>
    </row>
    <row r="614" spans="59:59" x14ac:dyDescent="0.2">
      <c r="BG614" s="27"/>
    </row>
    <row r="615" spans="59:59" x14ac:dyDescent="0.2">
      <c r="BG615" s="27"/>
    </row>
    <row r="616" spans="59:59" x14ac:dyDescent="0.2">
      <c r="BG616" s="27"/>
    </row>
    <row r="617" spans="59:59" x14ac:dyDescent="0.2">
      <c r="BG617" s="27"/>
    </row>
    <row r="618" spans="59:59" x14ac:dyDescent="0.2">
      <c r="BG618" s="27"/>
    </row>
    <row r="619" spans="59:59" x14ac:dyDescent="0.2">
      <c r="BG619" s="27"/>
    </row>
    <row r="620" spans="59:59" x14ac:dyDescent="0.2">
      <c r="BG620" s="27"/>
    </row>
    <row r="621" spans="59:59" x14ac:dyDescent="0.2">
      <c r="BG621" s="27"/>
    </row>
    <row r="622" spans="59:59" x14ac:dyDescent="0.2">
      <c r="BG622" s="27"/>
    </row>
    <row r="623" spans="59:59" x14ac:dyDescent="0.2">
      <c r="BG623" s="27"/>
    </row>
    <row r="624" spans="59:59" x14ac:dyDescent="0.2">
      <c r="BG624" s="27"/>
    </row>
    <row r="625" spans="59:59" x14ac:dyDescent="0.2">
      <c r="BG625" s="27"/>
    </row>
    <row r="626" spans="59:59" x14ac:dyDescent="0.2">
      <c r="BG626" s="27"/>
    </row>
    <row r="627" spans="59:59" x14ac:dyDescent="0.2">
      <c r="BG627" s="27"/>
    </row>
    <row r="628" spans="59:59" x14ac:dyDescent="0.2">
      <c r="BG628" s="27"/>
    </row>
    <row r="629" spans="59:59" x14ac:dyDescent="0.2">
      <c r="BG629" s="27"/>
    </row>
    <row r="630" spans="59:59" x14ac:dyDescent="0.2">
      <c r="BG630" s="27"/>
    </row>
    <row r="631" spans="59:59" x14ac:dyDescent="0.2">
      <c r="BG631" s="27"/>
    </row>
    <row r="632" spans="59:59" x14ac:dyDescent="0.2">
      <c r="BG632" s="27"/>
    </row>
    <row r="633" spans="59:59" x14ac:dyDescent="0.2">
      <c r="BG633" s="27"/>
    </row>
    <row r="634" spans="59:59" x14ac:dyDescent="0.2">
      <c r="BG634" s="27"/>
    </row>
    <row r="635" spans="59:59" x14ac:dyDescent="0.2">
      <c r="BG635" s="27"/>
    </row>
    <row r="636" spans="59:59" x14ac:dyDescent="0.2">
      <c r="BG636" s="27"/>
    </row>
    <row r="637" spans="59:59" x14ac:dyDescent="0.2">
      <c r="BG637" s="27"/>
    </row>
    <row r="638" spans="59:59" x14ac:dyDescent="0.2">
      <c r="BG638" s="27"/>
    </row>
    <row r="639" spans="59:59" x14ac:dyDescent="0.2">
      <c r="BG639" s="27"/>
    </row>
    <row r="640" spans="59:59" x14ac:dyDescent="0.2">
      <c r="BG640" s="27"/>
    </row>
    <row r="641" spans="59:59" x14ac:dyDescent="0.2">
      <c r="BG641" s="27"/>
    </row>
    <row r="642" spans="59:59" x14ac:dyDescent="0.2">
      <c r="BG642" s="27"/>
    </row>
    <row r="643" spans="59:59" x14ac:dyDescent="0.2">
      <c r="BG643" s="27"/>
    </row>
    <row r="644" spans="59:59" x14ac:dyDescent="0.2">
      <c r="BG644" s="27"/>
    </row>
    <row r="645" spans="59:59" x14ac:dyDescent="0.2">
      <c r="BG645" s="27"/>
    </row>
    <row r="646" spans="59:59" x14ac:dyDescent="0.2">
      <c r="BG646" s="27"/>
    </row>
    <row r="647" spans="59:59" x14ac:dyDescent="0.2">
      <c r="BG647" s="27"/>
    </row>
    <row r="648" spans="59:59" x14ac:dyDescent="0.2">
      <c r="BG648" s="27"/>
    </row>
    <row r="649" spans="59:59" x14ac:dyDescent="0.2">
      <c r="BG649" s="27"/>
    </row>
    <row r="650" spans="59:59" x14ac:dyDescent="0.2">
      <c r="BG650" s="27"/>
    </row>
    <row r="651" spans="59:59" x14ac:dyDescent="0.2">
      <c r="BG651" s="27"/>
    </row>
    <row r="652" spans="59:59" x14ac:dyDescent="0.2">
      <c r="BG652" s="27"/>
    </row>
    <row r="653" spans="59:59" x14ac:dyDescent="0.2">
      <c r="BG653" s="27"/>
    </row>
    <row r="654" spans="59:59" x14ac:dyDescent="0.2">
      <c r="BG654" s="27"/>
    </row>
    <row r="655" spans="59:59" x14ac:dyDescent="0.2">
      <c r="BG655" s="27"/>
    </row>
    <row r="656" spans="59:59" x14ac:dyDescent="0.2">
      <c r="BG656" s="27"/>
    </row>
    <row r="657" spans="59:59" x14ac:dyDescent="0.2">
      <c r="BG657" s="27"/>
    </row>
    <row r="658" spans="59:59" x14ac:dyDescent="0.2">
      <c r="BG658" s="27"/>
    </row>
    <row r="659" spans="59:59" x14ac:dyDescent="0.2">
      <c r="BG659" s="27"/>
    </row>
    <row r="660" spans="59:59" x14ac:dyDescent="0.2">
      <c r="BG660" s="27"/>
    </row>
    <row r="661" spans="59:59" x14ac:dyDescent="0.2">
      <c r="BG661" s="27"/>
    </row>
    <row r="662" spans="59:59" x14ac:dyDescent="0.2">
      <c r="BG662" s="27"/>
    </row>
    <row r="663" spans="59:59" x14ac:dyDescent="0.2">
      <c r="BG663" s="27"/>
    </row>
    <row r="664" spans="59:59" x14ac:dyDescent="0.2">
      <c r="BG664" s="27"/>
    </row>
    <row r="665" spans="59:59" x14ac:dyDescent="0.2">
      <c r="BG665" s="27"/>
    </row>
    <row r="666" spans="59:59" x14ac:dyDescent="0.2">
      <c r="BG666" s="27"/>
    </row>
    <row r="667" spans="59:59" x14ac:dyDescent="0.2">
      <c r="BG667" s="27"/>
    </row>
    <row r="668" spans="59:59" x14ac:dyDescent="0.2">
      <c r="BG668" s="27"/>
    </row>
    <row r="669" spans="59:59" x14ac:dyDescent="0.2">
      <c r="BG669" s="27"/>
    </row>
    <row r="670" spans="59:59" x14ac:dyDescent="0.2">
      <c r="BG670" s="27"/>
    </row>
    <row r="671" spans="59:59" x14ac:dyDescent="0.2">
      <c r="BG671" s="27"/>
    </row>
    <row r="672" spans="59:59" x14ac:dyDescent="0.2">
      <c r="BG672" s="27"/>
    </row>
    <row r="673" spans="59:59" x14ac:dyDescent="0.2">
      <c r="BG673" s="27"/>
    </row>
    <row r="674" spans="59:59" x14ac:dyDescent="0.2">
      <c r="BG674" s="27"/>
    </row>
    <row r="675" spans="59:59" x14ac:dyDescent="0.2">
      <c r="BG675" s="27"/>
    </row>
    <row r="676" spans="59:59" x14ac:dyDescent="0.2">
      <c r="BG676" s="27"/>
    </row>
    <row r="677" spans="59:59" x14ac:dyDescent="0.2">
      <c r="BG677" s="27"/>
    </row>
    <row r="678" spans="59:59" x14ac:dyDescent="0.2">
      <c r="BG678" s="27"/>
    </row>
    <row r="679" spans="59:59" x14ac:dyDescent="0.2">
      <c r="BG679" s="27"/>
    </row>
    <row r="680" spans="59:59" x14ac:dyDescent="0.2">
      <c r="BG680" s="27"/>
    </row>
    <row r="681" spans="59:59" x14ac:dyDescent="0.2">
      <c r="BG681" s="27"/>
    </row>
    <row r="682" spans="59:59" x14ac:dyDescent="0.2">
      <c r="BG682" s="27"/>
    </row>
    <row r="683" spans="59:59" x14ac:dyDescent="0.2">
      <c r="BG683" s="27"/>
    </row>
    <row r="684" spans="59:59" x14ac:dyDescent="0.2">
      <c r="BG684" s="27"/>
    </row>
    <row r="685" spans="59:59" x14ac:dyDescent="0.2">
      <c r="BG685" s="27"/>
    </row>
    <row r="686" spans="59:59" x14ac:dyDescent="0.2">
      <c r="BG686" s="27"/>
    </row>
    <row r="687" spans="59:59" x14ac:dyDescent="0.2">
      <c r="BG687" s="27"/>
    </row>
    <row r="688" spans="59:59" x14ac:dyDescent="0.2">
      <c r="BG688" s="27"/>
    </row>
    <row r="689" spans="59:59" x14ac:dyDescent="0.2">
      <c r="BG689" s="27"/>
    </row>
    <row r="690" spans="59:59" x14ac:dyDescent="0.2">
      <c r="BG690" s="27"/>
    </row>
    <row r="691" spans="59:59" x14ac:dyDescent="0.2">
      <c r="BG691" s="27"/>
    </row>
    <row r="692" spans="59:59" x14ac:dyDescent="0.2">
      <c r="BG692" s="27"/>
    </row>
    <row r="693" spans="59:59" x14ac:dyDescent="0.2">
      <c r="BG693" s="27"/>
    </row>
    <row r="694" spans="59:59" x14ac:dyDescent="0.2">
      <c r="BG694" s="27"/>
    </row>
    <row r="695" spans="59:59" x14ac:dyDescent="0.2">
      <c r="BG695" s="27"/>
    </row>
    <row r="696" spans="59:59" x14ac:dyDescent="0.2">
      <c r="BG696" s="27"/>
    </row>
    <row r="697" spans="59:59" x14ac:dyDescent="0.2">
      <c r="BG697" s="27"/>
    </row>
    <row r="698" spans="59:59" x14ac:dyDescent="0.2">
      <c r="BG698" s="27"/>
    </row>
    <row r="699" spans="59:59" x14ac:dyDescent="0.2">
      <c r="BG699" s="27"/>
    </row>
    <row r="700" spans="59:59" x14ac:dyDescent="0.2">
      <c r="BG700" s="27"/>
    </row>
    <row r="701" spans="59:59" x14ac:dyDescent="0.2">
      <c r="BG701" s="27"/>
    </row>
    <row r="702" spans="59:59" x14ac:dyDescent="0.2">
      <c r="BG702" s="27"/>
    </row>
    <row r="703" spans="59:59" x14ac:dyDescent="0.2">
      <c r="BG703" s="27"/>
    </row>
    <row r="704" spans="59:59" x14ac:dyDescent="0.2">
      <c r="BG704" s="27"/>
    </row>
    <row r="705" spans="59:59" x14ac:dyDescent="0.2">
      <c r="BG705" s="27"/>
    </row>
    <row r="706" spans="59:59" x14ac:dyDescent="0.2">
      <c r="BG706" s="27"/>
    </row>
    <row r="707" spans="59:59" x14ac:dyDescent="0.2">
      <c r="BG707" s="27"/>
    </row>
    <row r="708" spans="59:59" x14ac:dyDescent="0.2">
      <c r="BG708" s="27"/>
    </row>
    <row r="709" spans="59:59" x14ac:dyDescent="0.2">
      <c r="BG709" s="27"/>
    </row>
    <row r="710" spans="59:59" x14ac:dyDescent="0.2">
      <c r="BG710" s="27"/>
    </row>
    <row r="711" spans="59:59" x14ac:dyDescent="0.2">
      <c r="BG711" s="27"/>
    </row>
    <row r="712" spans="59:59" x14ac:dyDescent="0.2">
      <c r="BG712" s="27"/>
    </row>
    <row r="713" spans="59:59" x14ac:dyDescent="0.2">
      <c r="BG713" s="27"/>
    </row>
    <row r="714" spans="59:59" x14ac:dyDescent="0.2">
      <c r="BG714" s="27"/>
    </row>
    <row r="715" spans="59:59" x14ac:dyDescent="0.2">
      <c r="BG715" s="27"/>
    </row>
    <row r="716" spans="59:59" x14ac:dyDescent="0.2">
      <c r="BG716" s="27"/>
    </row>
    <row r="717" spans="59:59" x14ac:dyDescent="0.2">
      <c r="BG717" s="27"/>
    </row>
    <row r="718" spans="59:59" x14ac:dyDescent="0.2">
      <c r="BG718" s="27"/>
    </row>
    <row r="719" spans="59:59" x14ac:dyDescent="0.2">
      <c r="BG719" s="27"/>
    </row>
    <row r="720" spans="59:59" x14ac:dyDescent="0.2">
      <c r="BG720" s="27"/>
    </row>
    <row r="721" spans="59:59" x14ac:dyDescent="0.2">
      <c r="BG721" s="27"/>
    </row>
    <row r="722" spans="59:59" x14ac:dyDescent="0.2">
      <c r="BG722" s="27"/>
    </row>
    <row r="723" spans="59:59" x14ac:dyDescent="0.2">
      <c r="BG723" s="27"/>
    </row>
    <row r="724" spans="59:59" x14ac:dyDescent="0.2">
      <c r="BG724" s="27"/>
    </row>
    <row r="725" spans="59:59" x14ac:dyDescent="0.2">
      <c r="BG725" s="27"/>
    </row>
    <row r="726" spans="59:59" x14ac:dyDescent="0.2">
      <c r="BG726" s="27"/>
    </row>
    <row r="727" spans="59:59" x14ac:dyDescent="0.2">
      <c r="BG727" s="27"/>
    </row>
    <row r="728" spans="59:59" x14ac:dyDescent="0.2">
      <c r="BG728" s="27"/>
    </row>
    <row r="729" spans="59:59" x14ac:dyDescent="0.2">
      <c r="BG729" s="27"/>
    </row>
    <row r="730" spans="59:59" x14ac:dyDescent="0.2">
      <c r="BG730" s="27"/>
    </row>
    <row r="731" spans="59:59" x14ac:dyDescent="0.2">
      <c r="BG731" s="27"/>
    </row>
    <row r="732" spans="59:59" x14ac:dyDescent="0.2">
      <c r="BG732" s="27"/>
    </row>
    <row r="733" spans="59:59" x14ac:dyDescent="0.2">
      <c r="BG733" s="27"/>
    </row>
    <row r="734" spans="59:59" x14ac:dyDescent="0.2">
      <c r="BG734" s="27"/>
    </row>
    <row r="735" spans="59:59" x14ac:dyDescent="0.2">
      <c r="BG735" s="27"/>
    </row>
    <row r="736" spans="59:59" x14ac:dyDescent="0.2">
      <c r="BG736" s="27"/>
    </row>
    <row r="737" spans="59:59" x14ac:dyDescent="0.2">
      <c r="BG737" s="27"/>
    </row>
    <row r="738" spans="59:59" x14ac:dyDescent="0.2">
      <c r="BG738" s="27"/>
    </row>
    <row r="739" spans="59:59" x14ac:dyDescent="0.2">
      <c r="BG739" s="27"/>
    </row>
    <row r="740" spans="59:59" x14ac:dyDescent="0.2">
      <c r="BG740" s="27"/>
    </row>
    <row r="741" spans="59:59" x14ac:dyDescent="0.2">
      <c r="BG741" s="27"/>
    </row>
    <row r="742" spans="59:59" x14ac:dyDescent="0.2">
      <c r="BG742" s="27"/>
    </row>
    <row r="743" spans="59:59" x14ac:dyDescent="0.2">
      <c r="BG743" s="27"/>
    </row>
    <row r="744" spans="59:59" x14ac:dyDescent="0.2">
      <c r="BG744" s="27"/>
    </row>
    <row r="745" spans="59:59" x14ac:dyDescent="0.2">
      <c r="BG745" s="27"/>
    </row>
    <row r="746" spans="59:59" x14ac:dyDescent="0.2">
      <c r="BG746" s="27"/>
    </row>
    <row r="747" spans="59:59" x14ac:dyDescent="0.2">
      <c r="BG747" s="27"/>
    </row>
    <row r="748" spans="59:59" x14ac:dyDescent="0.2">
      <c r="BG748" s="27"/>
    </row>
    <row r="749" spans="59:59" x14ac:dyDescent="0.2">
      <c r="BG749" s="27"/>
    </row>
    <row r="750" spans="59:59" x14ac:dyDescent="0.2">
      <c r="BG750" s="27"/>
    </row>
    <row r="751" spans="59:59" x14ac:dyDescent="0.2">
      <c r="BG751" s="27"/>
    </row>
    <row r="752" spans="59:59" x14ac:dyDescent="0.2">
      <c r="BG752" s="27"/>
    </row>
    <row r="753" spans="59:59" x14ac:dyDescent="0.2">
      <c r="BG753" s="27"/>
    </row>
    <row r="754" spans="59:59" x14ac:dyDescent="0.2">
      <c r="BG754" s="27"/>
    </row>
    <row r="755" spans="59:59" x14ac:dyDescent="0.2">
      <c r="BG755" s="27"/>
    </row>
    <row r="756" spans="59:59" x14ac:dyDescent="0.2">
      <c r="BG756" s="27"/>
    </row>
    <row r="757" spans="59:59" x14ac:dyDescent="0.2">
      <c r="BG757" s="27"/>
    </row>
    <row r="758" spans="59:59" x14ac:dyDescent="0.2">
      <c r="BG758" s="27"/>
    </row>
    <row r="759" spans="59:59" x14ac:dyDescent="0.2">
      <c r="BG759" s="27"/>
    </row>
    <row r="760" spans="59:59" x14ac:dyDescent="0.2">
      <c r="BG760" s="27"/>
    </row>
    <row r="761" spans="59:59" x14ac:dyDescent="0.2">
      <c r="BG761" s="27"/>
    </row>
    <row r="762" spans="59:59" x14ac:dyDescent="0.2">
      <c r="BG762" s="27"/>
    </row>
    <row r="763" spans="59:59" x14ac:dyDescent="0.2">
      <c r="BG763" s="27"/>
    </row>
    <row r="764" spans="59:59" x14ac:dyDescent="0.2">
      <c r="BG764" s="27"/>
    </row>
    <row r="765" spans="59:59" x14ac:dyDescent="0.2">
      <c r="BG765" s="27"/>
    </row>
    <row r="766" spans="59:59" x14ac:dyDescent="0.2">
      <c r="BG766" s="27"/>
    </row>
    <row r="767" spans="59:59" x14ac:dyDescent="0.2">
      <c r="BG767" s="27"/>
    </row>
    <row r="768" spans="59:59" x14ac:dyDescent="0.2">
      <c r="BG768" s="27"/>
    </row>
    <row r="769" spans="59:59" x14ac:dyDescent="0.2">
      <c r="BG769" s="27"/>
    </row>
    <row r="770" spans="59:59" x14ac:dyDescent="0.2">
      <c r="BG770" s="27"/>
    </row>
    <row r="771" spans="59:59" x14ac:dyDescent="0.2">
      <c r="BG771" s="27"/>
    </row>
    <row r="772" spans="59:59" x14ac:dyDescent="0.2">
      <c r="BG772" s="27"/>
    </row>
    <row r="773" spans="59:59" x14ac:dyDescent="0.2">
      <c r="BG773" s="27"/>
    </row>
    <row r="774" spans="59:59" x14ac:dyDescent="0.2">
      <c r="BG774" s="27"/>
    </row>
    <row r="775" spans="59:59" x14ac:dyDescent="0.2">
      <c r="BG775" s="27"/>
    </row>
    <row r="776" spans="59:59" x14ac:dyDescent="0.2">
      <c r="BG776" s="27"/>
    </row>
    <row r="777" spans="59:59" x14ac:dyDescent="0.2">
      <c r="BG777" s="27"/>
    </row>
    <row r="778" spans="59:59" x14ac:dyDescent="0.2">
      <c r="BG778" s="27"/>
    </row>
    <row r="779" spans="59:59" x14ac:dyDescent="0.2">
      <c r="BG779" s="27"/>
    </row>
    <row r="780" spans="59:59" x14ac:dyDescent="0.2">
      <c r="BG780" s="27"/>
    </row>
    <row r="781" spans="59:59" x14ac:dyDescent="0.2">
      <c r="BG781" s="27"/>
    </row>
    <row r="782" spans="59:59" x14ac:dyDescent="0.2">
      <c r="BG782" s="27"/>
    </row>
    <row r="783" spans="59:59" x14ac:dyDescent="0.2">
      <c r="BG783" s="27"/>
    </row>
    <row r="784" spans="59:59" x14ac:dyDescent="0.2">
      <c r="BG784" s="27"/>
    </row>
    <row r="785" spans="59:59" x14ac:dyDescent="0.2">
      <c r="BG785" s="27"/>
    </row>
    <row r="786" spans="59:59" x14ac:dyDescent="0.2">
      <c r="BG786" s="27"/>
    </row>
    <row r="787" spans="59:59" x14ac:dyDescent="0.2">
      <c r="BG787" s="27"/>
    </row>
    <row r="788" spans="59:59" x14ac:dyDescent="0.2">
      <c r="BG788" s="27"/>
    </row>
    <row r="789" spans="59:59" x14ac:dyDescent="0.2">
      <c r="BG789" s="27"/>
    </row>
    <row r="790" spans="59:59" x14ac:dyDescent="0.2">
      <c r="BG790" s="27"/>
    </row>
    <row r="791" spans="59:59" x14ac:dyDescent="0.2">
      <c r="BG791" s="27"/>
    </row>
    <row r="792" spans="59:59" x14ac:dyDescent="0.2">
      <c r="BG792" s="27"/>
    </row>
    <row r="793" spans="59:59" x14ac:dyDescent="0.2">
      <c r="BG793" s="27"/>
    </row>
    <row r="794" spans="59:59" x14ac:dyDescent="0.2">
      <c r="BG794" s="27"/>
    </row>
    <row r="795" spans="59:59" x14ac:dyDescent="0.2">
      <c r="BG795" s="27"/>
    </row>
    <row r="796" spans="59:59" x14ac:dyDescent="0.2">
      <c r="BG796" s="27"/>
    </row>
    <row r="797" spans="59:59" x14ac:dyDescent="0.2">
      <c r="BG797" s="27"/>
    </row>
    <row r="798" spans="59:59" x14ac:dyDescent="0.2">
      <c r="BG798" s="27"/>
    </row>
    <row r="799" spans="59:59" x14ac:dyDescent="0.2">
      <c r="BG799" s="27"/>
    </row>
    <row r="800" spans="59:59" x14ac:dyDescent="0.2">
      <c r="BG800" s="27"/>
    </row>
    <row r="801" spans="59:59" x14ac:dyDescent="0.2">
      <c r="BG801" s="27"/>
    </row>
    <row r="802" spans="59:59" x14ac:dyDescent="0.2">
      <c r="BG802" s="27"/>
    </row>
    <row r="803" spans="59:59" x14ac:dyDescent="0.2">
      <c r="BG803" s="27"/>
    </row>
    <row r="804" spans="59:59" x14ac:dyDescent="0.2">
      <c r="BG804" s="27"/>
    </row>
    <row r="805" spans="59:59" x14ac:dyDescent="0.2">
      <c r="BG805" s="27"/>
    </row>
    <row r="806" spans="59:59" x14ac:dyDescent="0.2">
      <c r="BG806" s="27"/>
    </row>
    <row r="807" spans="59:59" x14ac:dyDescent="0.2">
      <c r="BG807" s="27"/>
    </row>
    <row r="808" spans="59:59" x14ac:dyDescent="0.2">
      <c r="BG808" s="27"/>
    </row>
    <row r="809" spans="59:59" x14ac:dyDescent="0.2">
      <c r="BG809" s="27"/>
    </row>
    <row r="810" spans="59:59" x14ac:dyDescent="0.2">
      <c r="BG810" s="27"/>
    </row>
    <row r="811" spans="59:59" x14ac:dyDescent="0.2">
      <c r="BG811" s="27"/>
    </row>
    <row r="812" spans="59:59" x14ac:dyDescent="0.2">
      <c r="BG812" s="27"/>
    </row>
    <row r="813" spans="59:59" x14ac:dyDescent="0.2">
      <c r="BG813" s="27"/>
    </row>
    <row r="814" spans="59:59" x14ac:dyDescent="0.2">
      <c r="BG814" s="27"/>
    </row>
    <row r="815" spans="59:59" x14ac:dyDescent="0.2">
      <c r="BG815" s="27"/>
    </row>
    <row r="816" spans="59:59" x14ac:dyDescent="0.2">
      <c r="BG816" s="27"/>
    </row>
    <row r="817" spans="59:59" x14ac:dyDescent="0.2">
      <c r="BG817" s="27"/>
    </row>
    <row r="818" spans="59:59" x14ac:dyDescent="0.2">
      <c r="BG818" s="27"/>
    </row>
    <row r="819" spans="59:59" x14ac:dyDescent="0.2">
      <c r="BG819" s="27"/>
    </row>
    <row r="820" spans="59:59" x14ac:dyDescent="0.2">
      <c r="BG820" s="27"/>
    </row>
    <row r="821" spans="59:59" x14ac:dyDescent="0.2">
      <c r="BG821" s="27"/>
    </row>
    <row r="822" spans="59:59" x14ac:dyDescent="0.2">
      <c r="BG822" s="27"/>
    </row>
    <row r="823" spans="59:59" x14ac:dyDescent="0.2">
      <c r="BG823" s="27"/>
    </row>
    <row r="824" spans="59:59" x14ac:dyDescent="0.2">
      <c r="BG824" s="27"/>
    </row>
    <row r="825" spans="59:59" x14ac:dyDescent="0.2">
      <c r="BG825" s="27"/>
    </row>
    <row r="826" spans="59:59" x14ac:dyDescent="0.2">
      <c r="BG826" s="27"/>
    </row>
    <row r="827" spans="59:59" x14ac:dyDescent="0.2">
      <c r="BG827" s="27"/>
    </row>
    <row r="828" spans="59:59" x14ac:dyDescent="0.2">
      <c r="BG828" s="27"/>
    </row>
    <row r="829" spans="59:59" x14ac:dyDescent="0.2">
      <c r="BG829" s="27"/>
    </row>
    <row r="830" spans="59:59" x14ac:dyDescent="0.2">
      <c r="BG830" s="27"/>
    </row>
    <row r="831" spans="59:59" x14ac:dyDescent="0.2">
      <c r="BG831" s="27"/>
    </row>
    <row r="832" spans="59:59" x14ac:dyDescent="0.2">
      <c r="BG832" s="27"/>
    </row>
    <row r="833" spans="59:59" x14ac:dyDescent="0.2">
      <c r="BG833" s="27"/>
    </row>
    <row r="834" spans="59:59" x14ac:dyDescent="0.2">
      <c r="BG834" s="27"/>
    </row>
    <row r="835" spans="59:59" x14ac:dyDescent="0.2">
      <c r="BG835" s="27"/>
    </row>
    <row r="836" spans="59:59" x14ac:dyDescent="0.2">
      <c r="BG836" s="27"/>
    </row>
    <row r="837" spans="59:59" x14ac:dyDescent="0.2">
      <c r="BG837" s="27"/>
    </row>
    <row r="838" spans="59:59" x14ac:dyDescent="0.2">
      <c r="BG838" s="27"/>
    </row>
    <row r="839" spans="59:59" x14ac:dyDescent="0.2">
      <c r="BG839" s="27"/>
    </row>
    <row r="840" spans="59:59" x14ac:dyDescent="0.2">
      <c r="BG840" s="27"/>
    </row>
    <row r="841" spans="59:59" x14ac:dyDescent="0.2">
      <c r="BG841" s="27"/>
    </row>
    <row r="842" spans="59:59" x14ac:dyDescent="0.2">
      <c r="BG842" s="27"/>
    </row>
    <row r="843" spans="59:59" x14ac:dyDescent="0.2">
      <c r="BG843" s="27"/>
    </row>
    <row r="844" spans="59:59" x14ac:dyDescent="0.2">
      <c r="BG844" s="27"/>
    </row>
    <row r="845" spans="59:59" x14ac:dyDescent="0.2">
      <c r="BG845" s="27"/>
    </row>
    <row r="846" spans="59:59" x14ac:dyDescent="0.2">
      <c r="BG846" s="27"/>
    </row>
    <row r="847" spans="59:59" x14ac:dyDescent="0.2">
      <c r="BG847" s="27"/>
    </row>
    <row r="848" spans="59:59" x14ac:dyDescent="0.2">
      <c r="BG848" s="27"/>
    </row>
    <row r="849" spans="59:59" x14ac:dyDescent="0.2">
      <c r="BG849" s="27"/>
    </row>
    <row r="850" spans="59:59" x14ac:dyDescent="0.2">
      <c r="BG850" s="27"/>
    </row>
    <row r="851" spans="59:59" x14ac:dyDescent="0.2">
      <c r="BG851" s="27"/>
    </row>
    <row r="852" spans="59:59" x14ac:dyDescent="0.2">
      <c r="BG852" s="27"/>
    </row>
    <row r="853" spans="59:59" x14ac:dyDescent="0.2">
      <c r="BG853" s="27"/>
    </row>
    <row r="854" spans="59:59" x14ac:dyDescent="0.2">
      <c r="BG854" s="27"/>
    </row>
    <row r="855" spans="59:59" x14ac:dyDescent="0.2">
      <c r="BG855" s="27"/>
    </row>
    <row r="856" spans="59:59" x14ac:dyDescent="0.2">
      <c r="BG856" s="27"/>
    </row>
    <row r="857" spans="59:59" x14ac:dyDescent="0.2">
      <c r="BG857" s="27"/>
    </row>
    <row r="858" spans="59:59" x14ac:dyDescent="0.2">
      <c r="BG858" s="27"/>
    </row>
    <row r="859" spans="59:59" x14ac:dyDescent="0.2">
      <c r="BG859" s="27"/>
    </row>
    <row r="860" spans="59:59" x14ac:dyDescent="0.2">
      <c r="BG860" s="27"/>
    </row>
    <row r="861" spans="59:59" x14ac:dyDescent="0.2">
      <c r="BG861" s="27"/>
    </row>
    <row r="862" spans="59:59" x14ac:dyDescent="0.2">
      <c r="BG862" s="27"/>
    </row>
    <row r="863" spans="59:59" x14ac:dyDescent="0.2">
      <c r="BG863" s="27"/>
    </row>
    <row r="864" spans="59:59" x14ac:dyDescent="0.2">
      <c r="BG864" s="27"/>
    </row>
    <row r="865" spans="59:59" x14ac:dyDescent="0.2">
      <c r="BG865" s="27"/>
    </row>
    <row r="866" spans="59:59" x14ac:dyDescent="0.2">
      <c r="BG866" s="27"/>
    </row>
    <row r="867" spans="59:59" x14ac:dyDescent="0.2">
      <c r="BG867" s="27"/>
    </row>
    <row r="868" spans="59:59" x14ac:dyDescent="0.2">
      <c r="BG868" s="27"/>
    </row>
    <row r="869" spans="59:59" x14ac:dyDescent="0.2">
      <c r="BG869" s="27"/>
    </row>
    <row r="870" spans="59:59" x14ac:dyDescent="0.2">
      <c r="BG870" s="27"/>
    </row>
    <row r="871" spans="59:59" x14ac:dyDescent="0.2">
      <c r="BG871" s="27"/>
    </row>
    <row r="872" spans="59:59" x14ac:dyDescent="0.2">
      <c r="BG872" s="27"/>
    </row>
    <row r="873" spans="59:59" x14ac:dyDescent="0.2">
      <c r="BG873" s="27"/>
    </row>
    <row r="874" spans="59:59" x14ac:dyDescent="0.2">
      <c r="BG874" s="27"/>
    </row>
    <row r="875" spans="59:59" x14ac:dyDescent="0.2">
      <c r="BG875" s="27"/>
    </row>
    <row r="876" spans="59:59" x14ac:dyDescent="0.2">
      <c r="BG876" s="27"/>
    </row>
    <row r="877" spans="59:59" x14ac:dyDescent="0.2">
      <c r="BG877" s="27"/>
    </row>
    <row r="878" spans="59:59" x14ac:dyDescent="0.2">
      <c r="BG878" s="27"/>
    </row>
    <row r="879" spans="59:59" x14ac:dyDescent="0.2">
      <c r="BG879" s="27"/>
    </row>
    <row r="880" spans="59:59" x14ac:dyDescent="0.2">
      <c r="BG880" s="27"/>
    </row>
    <row r="881" spans="59:59" x14ac:dyDescent="0.2">
      <c r="BG881" s="27"/>
    </row>
    <row r="882" spans="59:59" x14ac:dyDescent="0.2">
      <c r="BG882" s="27"/>
    </row>
    <row r="883" spans="59:59" x14ac:dyDescent="0.2">
      <c r="BG883" s="27"/>
    </row>
    <row r="884" spans="59:59" x14ac:dyDescent="0.2">
      <c r="BG884" s="27"/>
    </row>
    <row r="885" spans="59:59" x14ac:dyDescent="0.2">
      <c r="BG885" s="27"/>
    </row>
    <row r="886" spans="59:59" x14ac:dyDescent="0.2">
      <c r="BG886" s="27"/>
    </row>
    <row r="887" spans="59:59" x14ac:dyDescent="0.2">
      <c r="BG887" s="27"/>
    </row>
    <row r="888" spans="59:59" x14ac:dyDescent="0.2">
      <c r="BG888" s="27"/>
    </row>
    <row r="889" spans="59:59" x14ac:dyDescent="0.2">
      <c r="BG889" s="27"/>
    </row>
    <row r="890" spans="59:59" x14ac:dyDescent="0.2">
      <c r="BG890" s="27"/>
    </row>
    <row r="891" spans="59:59" x14ac:dyDescent="0.2">
      <c r="BG891" s="27"/>
    </row>
    <row r="892" spans="59:59" x14ac:dyDescent="0.2">
      <c r="BG892" s="27"/>
    </row>
    <row r="893" spans="59:59" x14ac:dyDescent="0.2">
      <c r="BG893" s="27"/>
    </row>
    <row r="894" spans="59:59" x14ac:dyDescent="0.2">
      <c r="BG894" s="27"/>
    </row>
    <row r="895" spans="59:59" x14ac:dyDescent="0.2">
      <c r="BG895" s="27"/>
    </row>
    <row r="896" spans="59:59" x14ac:dyDescent="0.2">
      <c r="BG896" s="27"/>
    </row>
    <row r="897" spans="59:59" x14ac:dyDescent="0.2">
      <c r="BG897" s="27"/>
    </row>
    <row r="898" spans="59:59" x14ac:dyDescent="0.2">
      <c r="BG898" s="27"/>
    </row>
    <row r="899" spans="59:59" x14ac:dyDescent="0.2">
      <c r="BG899" s="27"/>
    </row>
    <row r="900" spans="59:59" x14ac:dyDescent="0.2">
      <c r="BG900" s="27"/>
    </row>
    <row r="901" spans="59:59" x14ac:dyDescent="0.2">
      <c r="BG901" s="27"/>
    </row>
    <row r="902" spans="59:59" x14ac:dyDescent="0.2">
      <c r="BG902" s="27"/>
    </row>
    <row r="903" spans="59:59" x14ac:dyDescent="0.2">
      <c r="BG903" s="27"/>
    </row>
    <row r="904" spans="59:59" x14ac:dyDescent="0.2">
      <c r="BG904" s="27"/>
    </row>
    <row r="905" spans="59:59" x14ac:dyDescent="0.2">
      <c r="BG905" s="27"/>
    </row>
    <row r="906" spans="59:59" x14ac:dyDescent="0.2">
      <c r="BG906" s="27"/>
    </row>
    <row r="907" spans="59:59" x14ac:dyDescent="0.2">
      <c r="BG907" s="27"/>
    </row>
    <row r="908" spans="59:59" x14ac:dyDescent="0.2">
      <c r="BG908" s="27"/>
    </row>
    <row r="909" spans="59:59" x14ac:dyDescent="0.2">
      <c r="BG909" s="27"/>
    </row>
    <row r="910" spans="59:59" x14ac:dyDescent="0.2">
      <c r="BG910" s="27"/>
    </row>
    <row r="911" spans="59:59" x14ac:dyDescent="0.2">
      <c r="BG911" s="27"/>
    </row>
    <row r="912" spans="59:59" x14ac:dyDescent="0.2">
      <c r="BG912" s="27"/>
    </row>
    <row r="913" spans="59:59" x14ac:dyDescent="0.2">
      <c r="BG913" s="27"/>
    </row>
    <row r="914" spans="59:59" x14ac:dyDescent="0.2">
      <c r="BG914" s="27"/>
    </row>
    <row r="915" spans="59:59" x14ac:dyDescent="0.2">
      <c r="BG915" s="27"/>
    </row>
    <row r="916" spans="59:59" x14ac:dyDescent="0.2">
      <c r="BG916" s="27"/>
    </row>
    <row r="917" spans="59:59" x14ac:dyDescent="0.2">
      <c r="BG917" s="27"/>
    </row>
    <row r="918" spans="59:59" x14ac:dyDescent="0.2">
      <c r="BG918" s="27"/>
    </row>
    <row r="919" spans="59:59" x14ac:dyDescent="0.2">
      <c r="BG919" s="27"/>
    </row>
    <row r="920" spans="59:59" x14ac:dyDescent="0.2">
      <c r="BG920" s="27"/>
    </row>
    <row r="921" spans="59:59" x14ac:dyDescent="0.2">
      <c r="BG921" s="27"/>
    </row>
    <row r="922" spans="59:59" x14ac:dyDescent="0.2">
      <c r="BG922" s="27"/>
    </row>
    <row r="923" spans="59:59" x14ac:dyDescent="0.2">
      <c r="BG923" s="27"/>
    </row>
    <row r="924" spans="59:59" x14ac:dyDescent="0.2">
      <c r="BG924" s="27"/>
    </row>
    <row r="925" spans="59:59" x14ac:dyDescent="0.2">
      <c r="BG925" s="27"/>
    </row>
    <row r="926" spans="59:59" x14ac:dyDescent="0.2">
      <c r="BG926" s="27"/>
    </row>
    <row r="927" spans="59:59" x14ac:dyDescent="0.2">
      <c r="BG927" s="27"/>
    </row>
    <row r="928" spans="59:59" x14ac:dyDescent="0.2">
      <c r="BG928" s="27"/>
    </row>
    <row r="929" spans="59:59" x14ac:dyDescent="0.2">
      <c r="BG929" s="27"/>
    </row>
    <row r="930" spans="59:59" x14ac:dyDescent="0.2">
      <c r="BG930" s="27"/>
    </row>
    <row r="931" spans="59:59" x14ac:dyDescent="0.2">
      <c r="BG931" s="27"/>
    </row>
    <row r="932" spans="59:59" x14ac:dyDescent="0.2">
      <c r="BG932" s="27"/>
    </row>
    <row r="933" spans="59:59" x14ac:dyDescent="0.2">
      <c r="BG933" s="27"/>
    </row>
    <row r="934" spans="59:59" x14ac:dyDescent="0.2">
      <c r="BG934" s="27"/>
    </row>
    <row r="935" spans="59:59" x14ac:dyDescent="0.2">
      <c r="BG935" s="27"/>
    </row>
    <row r="936" spans="59:59" x14ac:dyDescent="0.2">
      <c r="BG936" s="27"/>
    </row>
    <row r="937" spans="59:59" x14ac:dyDescent="0.2">
      <c r="BG937" s="27"/>
    </row>
    <row r="938" spans="59:59" x14ac:dyDescent="0.2">
      <c r="BG938" s="27"/>
    </row>
    <row r="939" spans="59:59" x14ac:dyDescent="0.2">
      <c r="BG939" s="27"/>
    </row>
    <row r="940" spans="59:59" x14ac:dyDescent="0.2">
      <c r="BG940" s="27"/>
    </row>
    <row r="941" spans="59:59" x14ac:dyDescent="0.2">
      <c r="BG941" s="27"/>
    </row>
    <row r="942" spans="59:59" x14ac:dyDescent="0.2">
      <c r="BG942" s="27"/>
    </row>
    <row r="943" spans="59:59" x14ac:dyDescent="0.2">
      <c r="BG943" s="27"/>
    </row>
    <row r="944" spans="59:59" x14ac:dyDescent="0.2">
      <c r="BG944" s="27"/>
    </row>
    <row r="945" spans="59:59" x14ac:dyDescent="0.2">
      <c r="BG945" s="27"/>
    </row>
    <row r="946" spans="59:59" x14ac:dyDescent="0.2">
      <c r="BG946" s="27"/>
    </row>
    <row r="947" spans="59:59" x14ac:dyDescent="0.2">
      <c r="BG947" s="27"/>
    </row>
    <row r="948" spans="59:59" x14ac:dyDescent="0.2">
      <c r="BG948" s="27"/>
    </row>
    <row r="949" spans="59:59" x14ac:dyDescent="0.2">
      <c r="BG949" s="27"/>
    </row>
    <row r="950" spans="59:59" x14ac:dyDescent="0.2">
      <c r="BG950" s="27"/>
    </row>
    <row r="951" spans="59:59" x14ac:dyDescent="0.2">
      <c r="BG951" s="27"/>
    </row>
    <row r="952" spans="59:59" x14ac:dyDescent="0.2">
      <c r="BG952" s="27"/>
    </row>
    <row r="953" spans="59:59" x14ac:dyDescent="0.2">
      <c r="BG953" s="27"/>
    </row>
    <row r="954" spans="59:59" x14ac:dyDescent="0.2">
      <c r="BG954" s="27"/>
    </row>
    <row r="955" spans="59:59" x14ac:dyDescent="0.2">
      <c r="BG955" s="27"/>
    </row>
    <row r="956" spans="59:59" x14ac:dyDescent="0.2">
      <c r="BG956" s="27"/>
    </row>
    <row r="957" spans="59:59" x14ac:dyDescent="0.2">
      <c r="BG957" s="27"/>
    </row>
    <row r="958" spans="59:59" x14ac:dyDescent="0.2">
      <c r="BG958" s="27"/>
    </row>
    <row r="959" spans="59:59" x14ac:dyDescent="0.2">
      <c r="BG959" s="27"/>
    </row>
    <row r="960" spans="59:59" x14ac:dyDescent="0.2">
      <c r="BG960" s="27"/>
    </row>
    <row r="961" spans="59:59" x14ac:dyDescent="0.2">
      <c r="BG961" s="27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AO19" sqref="AO19:AU21"/>
      <colBreaks count="1" manualBreakCount="1">
        <brk id="25" max="18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&amp;C&amp;"Arial,Bold"&amp;11City of Northfield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printArea="1" view="pageBreakPreview">
      <pane xSplit="1" ySplit="5" topLeftCell="X6" activePane="bottomRight" state="frozen"/>
      <selection pane="bottomRight" activeCell="AU19" sqref="AU19"/>
      <colBreaks count="1" manualBreakCount="1">
        <brk id="25" max="18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&amp;C&amp;"Arial,Bold"&amp;11City of Northfield
General Election - November 3, 2015
Prepared by the Office of Edward P. McGettigan, Atlantic  County Clerk</oddHeader>
        <oddFooter>&amp;R&amp;11Page &amp;P</oddFooter>
      </headerFooter>
    </customSheetView>
    <customSheetView guid="{9227C430-E8A9-4621-9D47-B4F21D97F0A4}" scale="75" showPageBreaks="1" printArea="1" view="pageBreakPreview">
      <pane xSplit="1" ySplit="5" topLeftCell="X6" activePane="bottomRight" state="frozen"/>
      <selection pane="bottomRight" activeCell="AU19" sqref="AU19"/>
      <colBreaks count="1" manualBreakCount="1">
        <brk id="25" max="18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&amp;C&amp;"Arial,Bold"&amp;11City of Northfield
General Election - November 3, 2015
Prepared by the Office of Edward P. McGettigan, Atlantic  County Clerk</oddHeader>
        <oddFooter>&amp;R&amp;11Page &amp;P</oddFooter>
      </headerFooter>
    </customSheetView>
    <customSheetView guid="{7E9A004B-E820-4CD8-B4FD-2F73C3470E10}" scale="75" showPageBreaks="1" printArea="1" view="pageBreakPreview">
      <pane xSplit="1" ySplit="5" topLeftCell="X6" activePane="bottomRight" state="frozen"/>
      <selection pane="bottomRight" activeCell="AU19" sqref="AU19"/>
      <colBreaks count="2" manualBreakCount="2">
        <brk id="25" max="18" man="1"/>
        <brk id="56" max="18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&amp;C&amp;"Arial,Bold"&amp;11City of Northfield
General Election - November 3, 2015
Prepared by the Office of Edward P. McGettigan, Atlantic  County Clerk</oddHeader>
        <oddFooter>&amp;R&amp;11Page &amp;P</oddFooter>
      </headerFooter>
    </customSheetView>
    <customSheetView guid="{E8E8F98C-F893-4247-8892-1264000ABD26}" scale="75" showPageBreaks="1" printArea="1" view="pageBreakPreview">
      <pane xSplit="1" ySplit="5" topLeftCell="X6" activePane="bottomRight" state="frozen"/>
      <selection pane="bottomRight" activeCell="AU19" sqref="AU19"/>
      <colBreaks count="1" manualBreakCount="1">
        <brk id="25" max="18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&amp;C&amp;"Arial,Bold"&amp;11City of Northfield
General Election - November 3, 2015
Prepared by the Office of Edward P. McGettigan, Atlantic  County Clerk</oddHeader>
        <oddFooter>&amp;R&amp;11Page &amp;P</oddFooter>
      </headerFooter>
    </customSheetView>
  </customSheetViews>
  <mergeCells count="9">
    <mergeCell ref="AQ5:AS5"/>
    <mergeCell ref="AU4:AY4"/>
    <mergeCell ref="AU5:AY5"/>
    <mergeCell ref="BA5:BC5"/>
    <mergeCell ref="C5:Q5"/>
    <mergeCell ref="S5:AC5"/>
    <mergeCell ref="AE5:AG5"/>
    <mergeCell ref="AI5:AK5"/>
    <mergeCell ref="AM5:AO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&amp;C&amp;"Arial,Bold"&amp;11City of Northfield
General Election - November 6, 2018
Prepared by the Office of Edward P. McGettigan, Atlantic  County Clerk</oddHeader>
    <oddFooter>&amp;R&amp;11Page &amp;P</oddFooter>
  </headerFooter>
  <colBreaks count="2" manualBreakCount="2">
    <brk id="29" max="23" man="1"/>
    <brk id="55" max="23" man="1"/>
  </colBreaks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9"/>
  <sheetViews>
    <sheetView zoomScale="75" zoomScaleNormal="75" zoomScaleSheetLayoutView="75" workbookViewId="0">
      <pane xSplit="1" ySplit="5" topLeftCell="R6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61" customWidth="1"/>
    <col min="2" max="2" width="1.7109375" style="212" customWidth="1"/>
    <col min="3" max="3" width="12.140625" style="150" customWidth="1"/>
    <col min="4" max="4" width="1.7109375" style="150" customWidth="1"/>
    <col min="5" max="5" width="12.140625" style="150" customWidth="1"/>
    <col min="6" max="6" width="1.7109375" style="150" customWidth="1"/>
    <col min="7" max="7" width="15.7109375" style="150" customWidth="1"/>
    <col min="8" max="8" width="1.7109375" style="150" customWidth="1"/>
    <col min="9" max="9" width="12.140625" style="150" customWidth="1"/>
    <col min="10" max="10" width="1.7109375" style="150" customWidth="1"/>
    <col min="11" max="11" width="15.7109375" style="95" customWidth="1"/>
    <col min="12" max="12" width="1.7109375" style="95" customWidth="1"/>
    <col min="13" max="13" width="12.140625" style="95" customWidth="1"/>
    <col min="14" max="14" width="1.7109375" style="95" customWidth="1"/>
    <col min="15" max="15" width="11.5703125" style="95" customWidth="1"/>
    <col min="16" max="16" width="1.7109375" style="95" customWidth="1"/>
    <col min="17" max="17" width="14.140625" style="95" customWidth="1"/>
    <col min="18" max="18" width="1.7109375" style="95" customWidth="1"/>
    <col min="19" max="19" width="13" style="95" customWidth="1"/>
    <col min="20" max="20" width="1.7109375" style="95" customWidth="1"/>
    <col min="21" max="21" width="11" style="95" customWidth="1"/>
    <col min="22" max="22" width="1.7109375" style="95" customWidth="1"/>
    <col min="23" max="23" width="12.140625" style="95" customWidth="1"/>
    <col min="24" max="24" width="1.7109375" style="95" customWidth="1"/>
    <col min="25" max="25" width="12.140625" style="95" customWidth="1"/>
    <col min="26" max="26" width="1.7109375" style="95" customWidth="1"/>
    <col min="27" max="27" width="11.42578125" style="95" customWidth="1"/>
    <col min="28" max="28" width="1.7109375" style="95" customWidth="1"/>
    <col min="29" max="29" width="11.85546875" style="150" customWidth="1"/>
    <col min="30" max="30" width="1.7109375" style="150" customWidth="1"/>
    <col min="31" max="31" width="12.140625" style="150" customWidth="1"/>
    <col min="32" max="32" width="1.7109375" style="150" customWidth="1"/>
    <col min="33" max="33" width="13" style="150" customWidth="1"/>
    <col min="34" max="34" width="1.7109375" style="150" customWidth="1"/>
    <col min="35" max="35" width="11.85546875" style="150" customWidth="1"/>
    <col min="36" max="36" width="1.7109375" style="150" customWidth="1"/>
    <col min="37" max="37" width="11.85546875" style="95" customWidth="1"/>
    <col min="38" max="38" width="1.7109375" style="95" customWidth="1"/>
    <col min="39" max="39" width="11.7109375" style="95" customWidth="1"/>
    <col min="40" max="40" width="1.7109375" style="95" customWidth="1"/>
    <col min="41" max="41" width="11.7109375" style="95" customWidth="1"/>
    <col min="42" max="42" width="1.7109375" style="95" customWidth="1"/>
    <col min="43" max="43" width="11.42578125" style="95" customWidth="1"/>
    <col min="44" max="44" width="1.7109375" style="95" customWidth="1"/>
    <col min="45" max="45" width="11.85546875" style="95" customWidth="1"/>
    <col min="46" max="46" width="1.7109375" style="95" customWidth="1"/>
    <col min="47" max="47" width="12.42578125" style="95" customWidth="1"/>
    <col min="48" max="48" width="1.7109375" style="95" customWidth="1"/>
    <col min="49" max="49" width="8.7109375" style="95" customWidth="1"/>
    <col min="50" max="50" width="1.7109375" style="95" customWidth="1"/>
    <col min="51" max="51" width="8.7109375" style="95" customWidth="1"/>
    <col min="52" max="52" width="1.7109375" style="95" customWidth="1"/>
    <col min="53" max="53" width="9" style="95" customWidth="1"/>
    <col min="54" max="54" width="1.7109375" style="95" customWidth="1"/>
    <col min="55" max="55" width="9.28515625" style="95" customWidth="1"/>
    <col min="56" max="56" width="1.7109375" style="95" customWidth="1"/>
    <col min="57" max="57" width="11" style="95" customWidth="1"/>
    <col min="58" max="58" width="1.7109375" style="188" customWidth="1"/>
    <col min="59" max="59" width="10.85546875" style="188" customWidth="1"/>
    <col min="60" max="60" width="1.7109375" style="188" customWidth="1"/>
    <col min="61" max="61" width="9" style="188" customWidth="1"/>
    <col min="62" max="62" width="1.7109375" style="188" customWidth="1"/>
    <col min="63" max="63" width="10" style="188" customWidth="1"/>
    <col min="64" max="64" width="1.7109375" style="188" customWidth="1"/>
    <col min="65" max="65" width="10" style="188" customWidth="1"/>
    <col min="66" max="66" width="1.7109375" style="110" customWidth="1"/>
    <col min="67" max="67" width="10" style="110" customWidth="1"/>
    <col min="68" max="68" width="1.7109375" style="110" customWidth="1"/>
    <col min="69" max="69" width="9.140625" style="110"/>
    <col min="70" max="70" width="1.7109375" style="110" customWidth="1"/>
    <col min="71" max="71" width="9.140625" style="110"/>
    <col min="72" max="72" width="1.7109375" style="110" customWidth="1"/>
    <col min="73" max="73" width="9.140625" style="110"/>
    <col min="74" max="74" width="1.7109375" style="110" customWidth="1"/>
    <col min="75" max="75" width="9.140625" style="110"/>
    <col min="76" max="76" width="1.7109375" style="110" customWidth="1"/>
    <col min="77" max="77" width="9.140625" style="110"/>
    <col min="78" max="78" width="1.7109375" style="110" customWidth="1"/>
    <col min="79" max="79" width="9.140625" style="110"/>
    <col min="80" max="80" width="1.7109375" style="110" customWidth="1"/>
    <col min="81" max="81" width="9.140625" style="110"/>
    <col min="82" max="82" width="1.7109375" style="110" customWidth="1"/>
    <col min="83" max="83" width="9.140625" style="110"/>
    <col min="84" max="84" width="1.7109375" style="110" customWidth="1"/>
    <col min="85" max="85" width="9.140625" style="110"/>
    <col min="86" max="86" width="1.7109375" style="110" customWidth="1"/>
    <col min="87" max="87" width="9.140625" style="110"/>
    <col min="88" max="88" width="1.7109375" style="110" customWidth="1"/>
    <col min="89" max="16384" width="9.140625" style="110"/>
  </cols>
  <sheetData>
    <row r="1" spans="1:65" s="6" customFormat="1" x14ac:dyDescent="0.2">
      <c r="A1" s="89"/>
      <c r="B1" s="204"/>
      <c r="C1" s="190"/>
      <c r="D1" s="190"/>
      <c r="E1" s="190"/>
      <c r="F1" s="190"/>
      <c r="G1" s="190"/>
      <c r="H1" s="190"/>
      <c r="I1" s="190"/>
      <c r="J1" s="190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0"/>
      <c r="AD1" s="190"/>
      <c r="AE1" s="190"/>
      <c r="AF1" s="190"/>
      <c r="AG1" s="190"/>
      <c r="AH1" s="190"/>
      <c r="AI1" s="190"/>
      <c r="AJ1" s="190"/>
      <c r="AK1" s="192"/>
      <c r="AL1" s="192"/>
      <c r="AM1" s="192"/>
      <c r="AN1" s="192"/>
      <c r="AO1" s="192"/>
      <c r="AP1" s="192"/>
      <c r="AQ1" s="192"/>
      <c r="AR1" s="192"/>
      <c r="AS1" s="192"/>
      <c r="AT1" s="192"/>
      <c r="AU1" s="192"/>
      <c r="AV1" s="192"/>
      <c r="AW1" s="192"/>
      <c r="AX1" s="192"/>
      <c r="AY1" s="192"/>
      <c r="AZ1" s="192"/>
      <c r="BA1" s="192"/>
      <c r="BB1" s="192"/>
      <c r="BC1" s="192"/>
      <c r="BD1" s="192"/>
      <c r="BE1" s="192"/>
      <c r="BF1" s="12"/>
      <c r="BG1" s="12"/>
      <c r="BH1" s="12"/>
      <c r="BI1" s="12"/>
      <c r="BJ1" s="12"/>
      <c r="BK1" s="12"/>
      <c r="BL1" s="12"/>
      <c r="BM1" s="12"/>
    </row>
    <row r="2" spans="1:65" s="6" customFormat="1" x14ac:dyDescent="0.2">
      <c r="A2" s="89"/>
      <c r="B2" s="204"/>
      <c r="C2" s="278"/>
      <c r="D2" s="278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50"/>
      <c r="R2" s="50"/>
      <c r="S2" s="50"/>
      <c r="T2" s="282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282"/>
      <c r="AG2" s="282"/>
      <c r="AH2" s="282"/>
      <c r="AI2" s="282"/>
      <c r="AJ2" s="282"/>
      <c r="AK2" s="282"/>
      <c r="AL2" s="282"/>
      <c r="AM2" s="282"/>
      <c r="AN2" s="282"/>
      <c r="AO2" s="282"/>
      <c r="AP2" s="282"/>
      <c r="AQ2" s="282"/>
      <c r="AR2" s="282"/>
      <c r="AS2" s="282"/>
      <c r="AT2" s="282"/>
      <c r="AU2" s="282"/>
      <c r="AV2" s="282"/>
      <c r="AW2" s="282"/>
      <c r="AX2" s="282"/>
      <c r="AY2" s="282"/>
      <c r="AZ2" s="282"/>
      <c r="BA2" s="192"/>
      <c r="BB2" s="192"/>
      <c r="BC2" s="192"/>
      <c r="BD2" s="192"/>
      <c r="BE2" s="192"/>
      <c r="BF2" s="12"/>
      <c r="BG2" s="12"/>
      <c r="BH2" s="12"/>
      <c r="BI2" s="12"/>
      <c r="BJ2" s="12"/>
      <c r="BK2" s="12"/>
      <c r="BL2" s="12"/>
      <c r="BM2" s="12"/>
    </row>
    <row r="3" spans="1:65" s="6" customFormat="1" x14ac:dyDescent="0.2">
      <c r="A3" s="89"/>
      <c r="B3" s="204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282"/>
      <c r="Q3" s="153"/>
      <c r="R3" s="153"/>
      <c r="S3" s="153"/>
      <c r="T3" s="282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282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282"/>
      <c r="AU3" s="305"/>
      <c r="AV3" s="305"/>
      <c r="AW3" s="305"/>
      <c r="AX3" s="282"/>
      <c r="AY3" s="306"/>
      <c r="AZ3" s="306"/>
      <c r="BA3" s="192"/>
      <c r="BB3" s="192"/>
      <c r="BC3" s="192"/>
      <c r="BD3" s="192"/>
      <c r="BE3" s="192"/>
      <c r="BF3" s="12"/>
      <c r="BG3" s="12"/>
      <c r="BH3" s="12"/>
      <c r="BI3" s="12"/>
      <c r="BJ3" s="12"/>
      <c r="BK3" s="12"/>
      <c r="BL3" s="12"/>
      <c r="BM3" s="12"/>
    </row>
    <row r="4" spans="1:65" s="206" customFormat="1" x14ac:dyDescent="0.2">
      <c r="A4" s="61"/>
      <c r="B4" s="205"/>
      <c r="R4" s="95"/>
      <c r="S4" s="95"/>
      <c r="T4" s="95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460" t="s">
        <v>115</v>
      </c>
      <c r="AR4" s="460"/>
      <c r="AS4" s="460"/>
      <c r="AT4" s="460"/>
      <c r="AU4" s="460"/>
      <c r="AV4" s="96"/>
      <c r="AW4" s="96"/>
      <c r="AX4" s="76"/>
      <c r="AY4" s="96"/>
      <c r="AZ4" s="96"/>
      <c r="BJ4" s="188"/>
      <c r="BK4" s="188"/>
      <c r="BL4" s="188"/>
      <c r="BM4" s="188"/>
    </row>
    <row r="5" spans="1:65" s="293" customFormat="1" ht="15.75" thickBot="1" x14ac:dyDescent="0.3">
      <c r="A5" s="309"/>
      <c r="B5" s="70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E5" s="462" t="s">
        <v>80</v>
      </c>
      <c r="AF5" s="462"/>
      <c r="AG5" s="462"/>
      <c r="AH5" s="310"/>
      <c r="AI5" s="463" t="s">
        <v>134</v>
      </c>
      <c r="AJ5" s="463"/>
      <c r="AK5" s="463"/>
      <c r="AL5" s="310"/>
      <c r="AM5" s="461" t="s">
        <v>135</v>
      </c>
      <c r="AN5" s="461"/>
      <c r="AO5" s="461"/>
      <c r="AP5" s="310"/>
      <c r="AQ5" s="461" t="s">
        <v>116</v>
      </c>
      <c r="AR5" s="461"/>
      <c r="AS5" s="461"/>
      <c r="AT5" s="461"/>
      <c r="AU5" s="461"/>
      <c r="AV5" s="312"/>
      <c r="AW5" s="457" t="s">
        <v>196</v>
      </c>
      <c r="AX5" s="457"/>
      <c r="AY5" s="457"/>
      <c r="AZ5" s="312"/>
      <c r="BA5" s="83"/>
      <c r="BB5" s="76"/>
      <c r="BC5" s="83"/>
      <c r="BD5" s="76"/>
      <c r="BE5" s="83"/>
      <c r="BF5" s="76"/>
      <c r="BG5" s="83"/>
      <c r="BH5" s="76"/>
      <c r="BI5" s="83"/>
      <c r="BJ5" s="313"/>
      <c r="BK5" s="313"/>
      <c r="BL5" s="313"/>
      <c r="BM5" s="313"/>
    </row>
    <row r="6" spans="1:65" s="293" customFormat="1" ht="15" x14ac:dyDescent="0.25">
      <c r="A6" s="309"/>
      <c r="B6" s="70"/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91" t="str">
        <f>+'Lead Sheet '!AC4</f>
        <v>Anthony</v>
      </c>
      <c r="AE6" s="129"/>
      <c r="AF6" s="128"/>
      <c r="AG6" s="130"/>
      <c r="AH6" s="310"/>
      <c r="AI6" s="341"/>
      <c r="AJ6" s="342"/>
      <c r="AK6" s="343"/>
      <c r="AL6" s="310"/>
      <c r="AM6" s="344"/>
      <c r="AN6" s="342"/>
      <c r="AO6" s="343"/>
      <c r="AP6" s="310"/>
      <c r="AQ6" s="344"/>
      <c r="AR6" s="342"/>
      <c r="AS6" s="345"/>
      <c r="AT6" s="132"/>
      <c r="AU6" s="449" t="s">
        <v>132</v>
      </c>
      <c r="AV6" s="312"/>
      <c r="AW6" s="129"/>
      <c r="AX6" s="128"/>
      <c r="AY6" s="130"/>
      <c r="AZ6" s="312"/>
      <c r="BA6" s="341"/>
      <c r="BB6" s="351"/>
      <c r="BC6" s="351"/>
      <c r="BD6" s="351"/>
      <c r="BE6" s="351"/>
      <c r="BF6" s="351"/>
      <c r="BG6" s="351"/>
      <c r="BH6" s="351"/>
      <c r="BI6" s="339"/>
      <c r="BJ6" s="313"/>
      <c r="BK6" s="313"/>
      <c r="BL6" s="313"/>
      <c r="BM6" s="313"/>
    </row>
    <row r="7" spans="1:65" s="206" customFormat="1" ht="15" x14ac:dyDescent="0.25">
      <c r="A7" s="75" t="s">
        <v>91</v>
      </c>
      <c r="B7" s="205"/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90" t="s">
        <v>123</v>
      </c>
      <c r="AJ7" s="282"/>
      <c r="AK7" s="107" t="s">
        <v>124</v>
      </c>
      <c r="AL7" s="282"/>
      <c r="AM7" s="106" t="s">
        <v>190</v>
      </c>
      <c r="AN7" s="282"/>
      <c r="AO7" s="107" t="s">
        <v>192</v>
      </c>
      <c r="AP7" s="282"/>
      <c r="AQ7" s="106" t="s">
        <v>131</v>
      </c>
      <c r="AR7" s="282"/>
      <c r="AS7" s="95" t="s">
        <v>451</v>
      </c>
      <c r="AT7" s="76"/>
      <c r="AU7" s="107" t="s">
        <v>453</v>
      </c>
      <c r="AV7" s="209"/>
      <c r="AW7" s="155"/>
      <c r="AX7" s="137"/>
      <c r="AY7" s="156"/>
      <c r="AZ7" s="209"/>
      <c r="BA7" s="138" t="str">
        <f>+'Lead Sheet '!AW5</f>
        <v>Total</v>
      </c>
      <c r="BB7" s="139"/>
      <c r="BC7" s="140" t="str">
        <f>+'Lead Sheet '!AY5</f>
        <v>Total</v>
      </c>
      <c r="BD7" s="139"/>
      <c r="BE7" s="140" t="str">
        <f>+'Lead Sheet '!BA5</f>
        <v>Total</v>
      </c>
      <c r="BF7" s="139"/>
      <c r="BG7" s="140" t="str">
        <f>+'Lead Sheet '!BC5</f>
        <v>Total</v>
      </c>
      <c r="BH7" s="139"/>
      <c r="BI7" s="141" t="s">
        <v>24</v>
      </c>
      <c r="BJ7" s="188"/>
      <c r="BK7" s="188"/>
      <c r="BL7" s="188"/>
      <c r="BM7" s="188"/>
    </row>
    <row r="8" spans="1:65" s="206" customFormat="1" ht="14.25" x14ac:dyDescent="0.2">
      <c r="A8" s="75" t="s">
        <v>92</v>
      </c>
      <c r="B8" s="205"/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90" t="s">
        <v>188</v>
      </c>
      <c r="AJ8" s="282"/>
      <c r="AK8" s="107" t="s">
        <v>189</v>
      </c>
      <c r="AL8" s="282"/>
      <c r="AM8" s="106" t="s">
        <v>191</v>
      </c>
      <c r="AN8" s="282"/>
      <c r="AO8" s="107" t="s">
        <v>193</v>
      </c>
      <c r="AP8" s="282"/>
      <c r="AQ8" s="106" t="s">
        <v>194</v>
      </c>
      <c r="AR8" s="282"/>
      <c r="AS8" s="95" t="s">
        <v>452</v>
      </c>
      <c r="AT8" s="76"/>
      <c r="AU8" s="107" t="s">
        <v>189</v>
      </c>
      <c r="AV8" s="209"/>
      <c r="AW8" s="315" t="s">
        <v>106</v>
      </c>
      <c r="AX8" s="143"/>
      <c r="AY8" s="316" t="s">
        <v>107</v>
      </c>
      <c r="AZ8" s="209"/>
      <c r="BA8" s="78" t="str">
        <f>+'Lead Sheet '!AW6</f>
        <v>Machine</v>
      </c>
      <c r="BB8" s="76"/>
      <c r="BC8" s="83" t="str">
        <f>+'Lead Sheet '!AY6</f>
        <v>Vote By</v>
      </c>
      <c r="BD8" s="76"/>
      <c r="BE8" s="83" t="str">
        <f>+'Lead Sheet '!BA6</f>
        <v>Provisional</v>
      </c>
      <c r="BF8" s="76"/>
      <c r="BG8" s="83" t="str">
        <f>+'Lead Sheet '!BC6</f>
        <v>Emergency</v>
      </c>
      <c r="BH8" s="76"/>
      <c r="BI8" s="84" t="s">
        <v>87</v>
      </c>
      <c r="BJ8" s="188"/>
      <c r="BK8" s="188"/>
      <c r="BL8" s="188"/>
      <c r="BM8" s="188"/>
    </row>
    <row r="9" spans="1:65" s="206" customFormat="1" ht="14.25" x14ac:dyDescent="0.2">
      <c r="A9" s="61"/>
      <c r="B9" s="205"/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90" t="str">
        <f>+'Lead Sheet '!AI7</f>
        <v>Republican</v>
      </c>
      <c r="AJ9" s="282"/>
      <c r="AK9" s="97" t="str">
        <f>+'Lead Sheet '!AK7</f>
        <v>Democratic</v>
      </c>
      <c r="AL9" s="282"/>
      <c r="AM9" s="90" t="str">
        <f>+'Lead Sheet '!AM7</f>
        <v>Republican</v>
      </c>
      <c r="AN9" s="282"/>
      <c r="AO9" s="97" t="str">
        <f>+'Lead Sheet '!AO7</f>
        <v>Democratic</v>
      </c>
      <c r="AP9" s="282"/>
      <c r="AQ9" s="119"/>
      <c r="AR9" s="282"/>
      <c r="AS9" s="95"/>
      <c r="AT9" s="87"/>
      <c r="AU9" s="107"/>
      <c r="AV9" s="95"/>
      <c r="AW9" s="296"/>
      <c r="AX9" s="295"/>
      <c r="AY9" s="297"/>
      <c r="AZ9" s="95"/>
      <c r="BA9" s="78" t="str">
        <f>+'Lead Sheet '!AW7</f>
        <v>Count</v>
      </c>
      <c r="BB9" s="76"/>
      <c r="BC9" s="83" t="str">
        <f>+'Lead Sheet '!AY7</f>
        <v>Mail</v>
      </c>
      <c r="BD9" s="76"/>
      <c r="BE9" s="83" t="str">
        <f>+'Lead Sheet '!BA7</f>
        <v>Count</v>
      </c>
      <c r="BF9" s="76"/>
      <c r="BG9" s="83" t="str">
        <f>+'Lead Sheet '!BC7</f>
        <v>Count</v>
      </c>
      <c r="BH9" s="76"/>
      <c r="BI9" s="84" t="s">
        <v>89</v>
      </c>
      <c r="BJ9" s="188"/>
      <c r="BK9" s="188"/>
      <c r="BL9" s="188"/>
      <c r="BM9" s="188"/>
    </row>
    <row r="10" spans="1:65" s="206" customFormat="1" ht="15" thickBot="1" x14ac:dyDescent="0.25">
      <c r="A10" s="61"/>
      <c r="B10" s="205"/>
      <c r="C10" s="98"/>
      <c r="D10" s="99"/>
      <c r="E10" s="99"/>
      <c r="F10" s="100"/>
      <c r="G10" s="99"/>
      <c r="H10" s="100"/>
      <c r="I10" s="99"/>
      <c r="J10" s="100"/>
      <c r="K10" s="99"/>
      <c r="L10" s="100"/>
      <c r="M10" s="99"/>
      <c r="N10" s="100"/>
      <c r="O10" s="99"/>
      <c r="P10" s="281"/>
      <c r="Q10" s="101"/>
      <c r="R10" s="95"/>
      <c r="S10" s="98"/>
      <c r="T10" s="100"/>
      <c r="U10" s="99"/>
      <c r="V10" s="100"/>
      <c r="W10" s="99"/>
      <c r="X10" s="100"/>
      <c r="Y10" s="99"/>
      <c r="Z10" s="100"/>
      <c r="AA10" s="99"/>
      <c r="AB10" s="100"/>
      <c r="AC10" s="101" t="str">
        <f>+'Lead Sheet '!AC8</f>
        <v>Bought</v>
      </c>
      <c r="AD10" s="95"/>
      <c r="AE10" s="98"/>
      <c r="AF10" s="281"/>
      <c r="AG10" s="101"/>
      <c r="AH10" s="282"/>
      <c r="AI10" s="120"/>
      <c r="AJ10" s="281"/>
      <c r="AK10" s="121"/>
      <c r="AL10" s="282"/>
      <c r="AM10" s="120"/>
      <c r="AN10" s="281"/>
      <c r="AO10" s="121"/>
      <c r="AP10" s="282"/>
      <c r="AQ10" s="120"/>
      <c r="AR10" s="281"/>
      <c r="AS10" s="281"/>
      <c r="AT10" s="85"/>
      <c r="AU10" s="211"/>
      <c r="AV10" s="95"/>
      <c r="AW10" s="337"/>
      <c r="AX10" s="330"/>
      <c r="AY10" s="346"/>
      <c r="AZ10" s="95"/>
      <c r="BA10" s="80"/>
      <c r="BB10" s="85"/>
      <c r="BC10" s="85"/>
      <c r="BD10" s="85"/>
      <c r="BE10" s="85"/>
      <c r="BF10" s="85"/>
      <c r="BG10" s="85"/>
      <c r="BH10" s="85"/>
      <c r="BI10" s="86"/>
      <c r="BJ10" s="188"/>
      <c r="BK10" s="188"/>
      <c r="BL10" s="188"/>
      <c r="BM10" s="188"/>
    </row>
    <row r="11" spans="1:65" x14ac:dyDescent="0.2">
      <c r="A11" s="61" t="s">
        <v>27</v>
      </c>
      <c r="B11" s="110"/>
      <c r="C11" s="115">
        <f>162+153</f>
        <v>315</v>
      </c>
      <c r="D11" s="118"/>
      <c r="E11" s="115">
        <f>83+102</f>
        <v>185</v>
      </c>
      <c r="F11" s="118"/>
      <c r="G11" s="115">
        <f>8+2</f>
        <v>10</v>
      </c>
      <c r="H11" s="118"/>
      <c r="I11" s="115">
        <v>0</v>
      </c>
      <c r="J11" s="118"/>
      <c r="K11" s="115">
        <f>2+2</f>
        <v>4</v>
      </c>
      <c r="L11" s="118"/>
      <c r="M11" s="115">
        <f>4+2</f>
        <v>6</v>
      </c>
      <c r="N11" s="118"/>
      <c r="O11" s="115">
        <v>0</v>
      </c>
      <c r="P11" s="118"/>
      <c r="Q11" s="115">
        <f>1+1</f>
        <v>2</v>
      </c>
      <c r="R11" s="118"/>
      <c r="S11" s="115">
        <f>128+130</f>
        <v>258</v>
      </c>
      <c r="T11" s="118"/>
      <c r="U11" s="115">
        <f>128+126</f>
        <v>254</v>
      </c>
      <c r="V11" s="118"/>
      <c r="W11" s="115">
        <f>2+1</f>
        <v>3</v>
      </c>
      <c r="X11" s="118"/>
      <c r="Y11" s="115">
        <v>1</v>
      </c>
      <c r="Z11" s="118"/>
      <c r="AA11" s="115">
        <f>5+1</f>
        <v>6</v>
      </c>
      <c r="AB11" s="118"/>
      <c r="AC11" s="115">
        <f>1</f>
        <v>1</v>
      </c>
      <c r="AD11" s="118"/>
      <c r="AE11" s="115">
        <f>165+167</f>
        <v>332</v>
      </c>
      <c r="AF11" s="118"/>
      <c r="AG11" s="115">
        <f>94+91</f>
        <v>185</v>
      </c>
      <c r="AH11" s="118"/>
      <c r="AI11" s="115">
        <f>165+158</f>
        <v>323</v>
      </c>
      <c r="AJ11" s="118"/>
      <c r="AK11" s="115">
        <f>93+100</f>
        <v>193</v>
      </c>
      <c r="AL11" s="118"/>
      <c r="AM11" s="115"/>
      <c r="AN11" s="118"/>
      <c r="AO11" s="115"/>
      <c r="AP11" s="118"/>
      <c r="AQ11" s="115">
        <f>142+146</f>
        <v>288</v>
      </c>
      <c r="AR11" s="118"/>
      <c r="AS11" s="115">
        <v>27</v>
      </c>
      <c r="AT11" s="118"/>
      <c r="AU11" s="115">
        <v>9</v>
      </c>
      <c r="AV11" s="118"/>
      <c r="AW11" s="115">
        <f>102+114</f>
        <v>216</v>
      </c>
      <c r="AX11" s="118"/>
      <c r="AY11" s="115">
        <f>132+133</f>
        <v>265</v>
      </c>
      <c r="AZ11" s="118"/>
      <c r="BA11" s="115">
        <f>265+265</f>
        <v>530</v>
      </c>
      <c r="BB11" s="118"/>
      <c r="BC11" s="115">
        <v>199</v>
      </c>
      <c r="BD11" s="118"/>
      <c r="BE11" s="115">
        <v>28</v>
      </c>
      <c r="BF11" s="117"/>
      <c r="BG11" s="115"/>
      <c r="BH11" s="117"/>
      <c r="BI11" s="115">
        <f t="shared" ref="BI11:BI16" si="0">+SUM(BA11:BG11)</f>
        <v>757</v>
      </c>
    </row>
    <row r="12" spans="1:65" x14ac:dyDescent="0.2">
      <c r="A12" s="61" t="s">
        <v>28</v>
      </c>
      <c r="B12" s="110"/>
      <c r="C12" s="352">
        <f>151+136</f>
        <v>287</v>
      </c>
      <c r="D12" s="353"/>
      <c r="E12" s="352">
        <f>118+144</f>
        <v>262</v>
      </c>
      <c r="F12" s="353"/>
      <c r="G12" s="352">
        <f>4+2</f>
        <v>6</v>
      </c>
      <c r="H12" s="353"/>
      <c r="I12" s="352">
        <v>2</v>
      </c>
      <c r="J12" s="353"/>
      <c r="K12" s="352">
        <f>3+1</f>
        <v>4</v>
      </c>
      <c r="L12" s="118"/>
      <c r="M12" s="352">
        <f>4+1</f>
        <v>5</v>
      </c>
      <c r="N12" s="353"/>
      <c r="O12" s="352">
        <v>1</v>
      </c>
      <c r="P12" s="353"/>
      <c r="Q12" s="352">
        <v>0</v>
      </c>
      <c r="R12" s="353"/>
      <c r="S12" s="352">
        <f>119+115</f>
        <v>234</v>
      </c>
      <c r="T12" s="353"/>
      <c r="U12" s="352">
        <f>159+167</f>
        <v>326</v>
      </c>
      <c r="V12" s="353"/>
      <c r="W12" s="352">
        <f>2+2</f>
        <v>4</v>
      </c>
      <c r="X12" s="353"/>
      <c r="Y12" s="352">
        <v>1</v>
      </c>
      <c r="Z12" s="353"/>
      <c r="AA12" s="352">
        <v>3</v>
      </c>
      <c r="AB12" s="353"/>
      <c r="AC12" s="352">
        <f>1+1</f>
        <v>2</v>
      </c>
      <c r="AD12" s="353"/>
      <c r="AE12" s="352">
        <f>155+149</f>
        <v>304</v>
      </c>
      <c r="AF12" s="353"/>
      <c r="AG12" s="352">
        <f>124+138</f>
        <v>262</v>
      </c>
      <c r="AH12" s="353"/>
      <c r="AI12" s="352">
        <f>152+147</f>
        <v>299</v>
      </c>
      <c r="AJ12" s="353"/>
      <c r="AK12" s="352">
        <f>129+137</f>
        <v>266</v>
      </c>
      <c r="AL12" s="354"/>
      <c r="AM12" s="352"/>
      <c r="AN12" s="353"/>
      <c r="AO12" s="352"/>
      <c r="AP12" s="353"/>
      <c r="AQ12" s="352">
        <f>146+153</f>
        <v>299</v>
      </c>
      <c r="AR12" s="353"/>
      <c r="AS12" s="352">
        <v>36</v>
      </c>
      <c r="AT12" s="353"/>
      <c r="AU12" s="352">
        <v>13</v>
      </c>
      <c r="AV12" s="353"/>
      <c r="AW12" s="352">
        <f>107+132</f>
        <v>239</v>
      </c>
      <c r="AX12" s="353"/>
      <c r="AY12" s="352">
        <f>148+134</f>
        <v>282</v>
      </c>
      <c r="AZ12" s="353"/>
      <c r="BA12" s="352">
        <f>289+292</f>
        <v>581</v>
      </c>
      <c r="BB12" s="118"/>
      <c r="BC12" s="352"/>
      <c r="BD12" s="118"/>
      <c r="BE12" s="352"/>
      <c r="BF12" s="117"/>
      <c r="BG12" s="352"/>
      <c r="BH12" s="117"/>
      <c r="BI12" s="115">
        <f t="shared" si="0"/>
        <v>581</v>
      </c>
    </row>
    <row r="13" spans="1:65" x14ac:dyDescent="0.2">
      <c r="A13" s="61" t="s">
        <v>29</v>
      </c>
      <c r="B13" s="110"/>
      <c r="C13" s="352">
        <f>236+200</f>
        <v>436</v>
      </c>
      <c r="D13" s="353"/>
      <c r="E13" s="352">
        <f>123+112</f>
        <v>235</v>
      </c>
      <c r="F13" s="353"/>
      <c r="G13" s="352">
        <f>8+8</f>
        <v>16</v>
      </c>
      <c r="H13" s="353"/>
      <c r="I13" s="352">
        <v>1</v>
      </c>
      <c r="J13" s="353"/>
      <c r="K13" s="352">
        <f>3+2</f>
        <v>5</v>
      </c>
      <c r="L13" s="118"/>
      <c r="M13" s="352">
        <f>5+4</f>
        <v>9</v>
      </c>
      <c r="N13" s="353"/>
      <c r="O13" s="352">
        <f>1+1</f>
        <v>2</v>
      </c>
      <c r="P13" s="353"/>
      <c r="Q13" s="352">
        <v>1</v>
      </c>
      <c r="R13" s="353"/>
      <c r="S13" s="352">
        <f>200+171</f>
        <v>371</v>
      </c>
      <c r="T13" s="353"/>
      <c r="U13" s="352">
        <f>170+148</f>
        <v>318</v>
      </c>
      <c r="V13" s="353"/>
      <c r="W13" s="352">
        <f>4+2</f>
        <v>6</v>
      </c>
      <c r="X13" s="353"/>
      <c r="Y13" s="352">
        <f>1+2</f>
        <v>3</v>
      </c>
      <c r="Z13" s="353"/>
      <c r="AA13" s="352">
        <f>2+2</f>
        <v>4</v>
      </c>
      <c r="AB13" s="353"/>
      <c r="AC13" s="352">
        <v>0</v>
      </c>
      <c r="AD13" s="353"/>
      <c r="AE13" s="352">
        <f>240+201</f>
        <v>441</v>
      </c>
      <c r="AF13" s="353"/>
      <c r="AG13" s="352">
        <f>136+121</f>
        <v>257</v>
      </c>
      <c r="AH13" s="353"/>
      <c r="AI13" s="352">
        <f>239+204</f>
        <v>443</v>
      </c>
      <c r="AJ13" s="353"/>
      <c r="AK13" s="352">
        <f>138+115</f>
        <v>253</v>
      </c>
      <c r="AL13" s="354"/>
      <c r="AM13" s="352"/>
      <c r="AN13" s="353"/>
      <c r="AO13" s="352"/>
      <c r="AP13" s="353"/>
      <c r="AQ13" s="352">
        <f>201+163</f>
        <v>364</v>
      </c>
      <c r="AR13" s="353"/>
      <c r="AS13" s="352">
        <v>55</v>
      </c>
      <c r="AT13" s="353"/>
      <c r="AU13" s="352">
        <v>8</v>
      </c>
      <c r="AV13" s="353"/>
      <c r="AW13" s="352">
        <f>150+119</f>
        <v>269</v>
      </c>
      <c r="AX13" s="353"/>
      <c r="AY13" s="352">
        <f>189+178</f>
        <v>367</v>
      </c>
      <c r="AZ13" s="353"/>
      <c r="BA13" s="352">
        <f>381+334</f>
        <v>715</v>
      </c>
      <c r="BB13" s="118"/>
      <c r="BC13" s="352"/>
      <c r="BD13" s="118"/>
      <c r="BE13" s="352"/>
      <c r="BF13" s="117"/>
      <c r="BG13" s="352"/>
      <c r="BH13" s="117"/>
      <c r="BI13" s="115">
        <f t="shared" si="0"/>
        <v>715</v>
      </c>
    </row>
    <row r="14" spans="1:65" x14ac:dyDescent="0.2">
      <c r="A14" s="61" t="s">
        <v>30</v>
      </c>
      <c r="B14" s="110"/>
      <c r="C14" s="352">
        <f>143+157</f>
        <v>300</v>
      </c>
      <c r="D14" s="353"/>
      <c r="E14" s="352">
        <f>91+88</f>
        <v>179</v>
      </c>
      <c r="F14" s="353"/>
      <c r="G14" s="352">
        <f>2+3</f>
        <v>5</v>
      </c>
      <c r="H14" s="353"/>
      <c r="I14" s="352">
        <f>2+2</f>
        <v>4</v>
      </c>
      <c r="J14" s="353"/>
      <c r="K14" s="352">
        <f>1+2</f>
        <v>3</v>
      </c>
      <c r="L14" s="118"/>
      <c r="M14" s="352">
        <f>2+2</f>
        <v>4</v>
      </c>
      <c r="N14" s="353"/>
      <c r="O14" s="352">
        <v>2</v>
      </c>
      <c r="P14" s="353"/>
      <c r="Q14" s="352">
        <v>0</v>
      </c>
      <c r="R14" s="353"/>
      <c r="S14" s="352">
        <f>125+135</f>
        <v>260</v>
      </c>
      <c r="T14" s="353"/>
      <c r="U14" s="352">
        <f>113+112</f>
        <v>225</v>
      </c>
      <c r="V14" s="353"/>
      <c r="W14" s="352">
        <f>1+1</f>
        <v>2</v>
      </c>
      <c r="X14" s="353"/>
      <c r="Y14" s="352">
        <f>1+1</f>
        <v>2</v>
      </c>
      <c r="Z14" s="353"/>
      <c r="AA14" s="352">
        <f>1+3</f>
        <v>4</v>
      </c>
      <c r="AB14" s="353"/>
      <c r="AC14" s="352">
        <f>2+1</f>
        <v>3</v>
      </c>
      <c r="AD14" s="353"/>
      <c r="AE14" s="352">
        <f>142+166</f>
        <v>308</v>
      </c>
      <c r="AF14" s="353"/>
      <c r="AG14" s="352">
        <f>99+86</f>
        <v>185</v>
      </c>
      <c r="AH14" s="353"/>
      <c r="AI14" s="352"/>
      <c r="AJ14" s="353"/>
      <c r="AK14" s="352"/>
      <c r="AL14" s="354"/>
      <c r="AM14" s="352">
        <f>130+136</f>
        <v>266</v>
      </c>
      <c r="AN14" s="353"/>
      <c r="AO14" s="352">
        <f>113+113</f>
        <v>226</v>
      </c>
      <c r="AP14" s="353"/>
      <c r="AQ14" s="352">
        <f>135+128</f>
        <v>263</v>
      </c>
      <c r="AR14" s="353"/>
      <c r="AS14" s="352">
        <v>23</v>
      </c>
      <c r="AT14" s="353"/>
      <c r="AU14" s="352">
        <v>7</v>
      </c>
      <c r="AV14" s="353"/>
      <c r="AW14" s="352">
        <f>81+78</f>
        <v>159</v>
      </c>
      <c r="AX14" s="353"/>
      <c r="AY14" s="352">
        <f>132+151</f>
        <v>283</v>
      </c>
      <c r="AZ14" s="353"/>
      <c r="BA14" s="352">
        <f>248+260</f>
        <v>508</v>
      </c>
      <c r="BB14" s="118"/>
      <c r="BC14" s="352">
        <v>153</v>
      </c>
      <c r="BD14" s="118"/>
      <c r="BE14" s="352">
        <f>50</f>
        <v>50</v>
      </c>
      <c r="BF14" s="117"/>
      <c r="BG14" s="352"/>
      <c r="BH14" s="117"/>
      <c r="BI14" s="115">
        <f t="shared" si="0"/>
        <v>711</v>
      </c>
    </row>
    <row r="15" spans="1:65" x14ac:dyDescent="0.2">
      <c r="A15" s="61" t="s">
        <v>31</v>
      </c>
      <c r="B15" s="110"/>
      <c r="C15" s="352">
        <f>77+96</f>
        <v>173</v>
      </c>
      <c r="D15" s="353"/>
      <c r="E15" s="352">
        <f>169+148</f>
        <v>317</v>
      </c>
      <c r="F15" s="353"/>
      <c r="G15" s="352">
        <f>4+6</f>
        <v>10</v>
      </c>
      <c r="H15" s="118"/>
      <c r="I15" s="352">
        <f>1+3</f>
        <v>4</v>
      </c>
      <c r="J15" s="353"/>
      <c r="K15" s="352">
        <v>0</v>
      </c>
      <c r="L15" s="353"/>
      <c r="M15" s="352">
        <v>2</v>
      </c>
      <c r="N15" s="353"/>
      <c r="O15" s="352">
        <v>1</v>
      </c>
      <c r="P15" s="353"/>
      <c r="Q15" s="352">
        <v>0</v>
      </c>
      <c r="R15" s="353"/>
      <c r="S15" s="352">
        <f>70+83</f>
        <v>153</v>
      </c>
      <c r="T15" s="353"/>
      <c r="U15" s="352">
        <f>175+166</f>
        <v>341</v>
      </c>
      <c r="V15" s="353"/>
      <c r="W15" s="352">
        <f>2+2</f>
        <v>4</v>
      </c>
      <c r="X15" s="353"/>
      <c r="Y15" s="352">
        <v>1</v>
      </c>
      <c r="Z15" s="353"/>
      <c r="AA15" s="352">
        <v>0</v>
      </c>
      <c r="AB15" s="353"/>
      <c r="AC15" s="352">
        <v>1</v>
      </c>
      <c r="AD15" s="353"/>
      <c r="AE15" s="352">
        <f>74+98</f>
        <v>172</v>
      </c>
      <c r="AF15" s="353"/>
      <c r="AG15" s="352">
        <f>176+150</f>
        <v>326</v>
      </c>
      <c r="AH15" s="354"/>
      <c r="AI15" s="352"/>
      <c r="AJ15" s="353"/>
      <c r="AK15" s="352"/>
      <c r="AL15" s="353"/>
      <c r="AM15" s="352">
        <f>65+81</f>
        <v>146</v>
      </c>
      <c r="AN15" s="353"/>
      <c r="AO15" s="352">
        <f>184+169</f>
        <v>353</v>
      </c>
      <c r="AP15" s="353"/>
      <c r="AQ15" s="352">
        <f>104+99</f>
        <v>203</v>
      </c>
      <c r="AR15" s="353"/>
      <c r="AS15" s="352">
        <v>7</v>
      </c>
      <c r="AT15" s="353"/>
      <c r="AU15" s="352">
        <v>5</v>
      </c>
      <c r="AV15" s="353"/>
      <c r="AW15" s="352">
        <f>132+123</f>
        <v>255</v>
      </c>
      <c r="AX15" s="354"/>
      <c r="AY15" s="352">
        <f>66+87</f>
        <v>153</v>
      </c>
      <c r="AZ15" s="353"/>
      <c r="BA15" s="352">
        <f>256+259</f>
        <v>515</v>
      </c>
      <c r="BB15" s="118"/>
      <c r="BC15" s="352"/>
      <c r="BD15" s="118"/>
      <c r="BE15" s="352"/>
      <c r="BF15" s="117"/>
      <c r="BG15" s="352"/>
      <c r="BH15" s="117"/>
      <c r="BI15" s="115">
        <f t="shared" si="0"/>
        <v>515</v>
      </c>
    </row>
    <row r="16" spans="1:65" x14ac:dyDescent="0.2">
      <c r="A16" s="61" t="s">
        <v>32</v>
      </c>
      <c r="B16" s="110"/>
      <c r="C16" s="352">
        <f>111+136</f>
        <v>247</v>
      </c>
      <c r="D16" s="353"/>
      <c r="E16" s="352">
        <f>91+77</f>
        <v>168</v>
      </c>
      <c r="F16" s="353"/>
      <c r="G16" s="352">
        <f>4+3</f>
        <v>7</v>
      </c>
      <c r="H16" s="353"/>
      <c r="I16" s="352">
        <f>1+5</f>
        <v>6</v>
      </c>
      <c r="J16" s="353"/>
      <c r="K16" s="352">
        <f>5+3</f>
        <v>8</v>
      </c>
      <c r="L16" s="118"/>
      <c r="M16" s="352">
        <f>1+1</f>
        <v>2</v>
      </c>
      <c r="N16" s="353"/>
      <c r="O16" s="352">
        <v>0</v>
      </c>
      <c r="P16" s="353"/>
      <c r="Q16" s="352">
        <v>0</v>
      </c>
      <c r="R16" s="353"/>
      <c r="S16" s="352">
        <f>95+110</f>
        <v>205</v>
      </c>
      <c r="T16" s="353"/>
      <c r="U16" s="352">
        <f>113+113</f>
        <v>226</v>
      </c>
      <c r="V16" s="353"/>
      <c r="W16" s="352">
        <f>1+2</f>
        <v>3</v>
      </c>
      <c r="X16" s="353"/>
      <c r="Y16" s="352">
        <v>2</v>
      </c>
      <c r="Z16" s="353"/>
      <c r="AA16" s="352">
        <f>3+1</f>
        <v>4</v>
      </c>
      <c r="AB16" s="353"/>
      <c r="AC16" s="352">
        <v>1</v>
      </c>
      <c r="AD16" s="353"/>
      <c r="AE16" s="352">
        <f>125+138</f>
        <v>263</v>
      </c>
      <c r="AF16" s="353"/>
      <c r="AG16" s="352">
        <f>88+82</f>
        <v>170</v>
      </c>
      <c r="AH16" s="353"/>
      <c r="AI16" s="352"/>
      <c r="AJ16" s="353"/>
      <c r="AK16" s="352"/>
      <c r="AL16" s="354"/>
      <c r="AM16" s="352">
        <f>101+115</f>
        <v>216</v>
      </c>
      <c r="AN16" s="353"/>
      <c r="AO16" s="352">
        <f>112+106</f>
        <v>218</v>
      </c>
      <c r="AP16" s="353"/>
      <c r="AQ16" s="352">
        <f>109+109</f>
        <v>218</v>
      </c>
      <c r="AR16" s="353"/>
      <c r="AS16" s="352">
        <v>32</v>
      </c>
      <c r="AT16" s="353"/>
      <c r="AU16" s="352">
        <v>10</v>
      </c>
      <c r="AV16" s="353"/>
      <c r="AW16" s="352">
        <f>92+74</f>
        <v>166</v>
      </c>
      <c r="AX16" s="353"/>
      <c r="AY16" s="352">
        <f>101+130</f>
        <v>231</v>
      </c>
      <c r="AZ16" s="353"/>
      <c r="BA16" s="352">
        <f>216+229</f>
        <v>445</v>
      </c>
      <c r="BB16" s="118"/>
      <c r="BC16" s="352"/>
      <c r="BD16" s="118"/>
      <c r="BE16" s="352"/>
      <c r="BF16" s="117"/>
      <c r="BG16" s="352"/>
      <c r="BH16" s="117"/>
      <c r="BI16" s="115">
        <f t="shared" si="0"/>
        <v>445</v>
      </c>
    </row>
    <row r="17" spans="1:65" ht="13.5" thickBot="1" x14ac:dyDescent="0.25">
      <c r="C17" s="64"/>
      <c r="D17" s="64"/>
      <c r="E17" s="64"/>
      <c r="F17" s="64"/>
      <c r="G17" s="64"/>
      <c r="H17" s="64"/>
      <c r="I17" s="64"/>
      <c r="J17" s="64"/>
      <c r="K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213"/>
      <c r="AD17" s="213"/>
      <c r="AE17" s="213"/>
      <c r="AF17" s="213"/>
      <c r="AG17" s="213"/>
      <c r="AH17" s="213"/>
      <c r="AI17" s="213"/>
      <c r="AJ17" s="213"/>
      <c r="AK17" s="37"/>
      <c r="AL17" s="214"/>
      <c r="AM17" s="37"/>
      <c r="AN17" s="37"/>
      <c r="AO17" s="37"/>
      <c r="AP17" s="37"/>
      <c r="AQ17" s="37"/>
      <c r="AR17" s="37"/>
      <c r="AS17" s="37"/>
      <c r="AT17" s="37"/>
      <c r="AU17" s="215"/>
      <c r="AV17" s="215"/>
      <c r="AW17" s="215"/>
      <c r="AX17" s="215"/>
      <c r="AY17" s="215"/>
      <c r="AZ17" s="215"/>
      <c r="BA17" s="37"/>
      <c r="BC17" s="37"/>
      <c r="BE17" s="37"/>
      <c r="BG17" s="37"/>
      <c r="BI17" s="37"/>
    </row>
    <row r="18" spans="1:65" s="47" customFormat="1" ht="13.5" thickBot="1" x14ac:dyDescent="0.25">
      <c r="A18" s="3" t="s">
        <v>24</v>
      </c>
      <c r="C18" s="45">
        <f>+SUM(C11:C16)</f>
        <v>1758</v>
      </c>
      <c r="D18" s="52"/>
      <c r="E18" s="45">
        <f>+SUM(E11:E16)</f>
        <v>1346</v>
      </c>
      <c r="F18" s="52"/>
      <c r="G18" s="45">
        <f>+SUM(G11:G16)</f>
        <v>54</v>
      </c>
      <c r="H18" s="52"/>
      <c r="I18" s="45">
        <f>+SUM(I11:I16)</f>
        <v>17</v>
      </c>
      <c r="J18" s="52"/>
      <c r="K18" s="45">
        <f>+SUM(K11:K16)</f>
        <v>24</v>
      </c>
      <c r="L18" s="42"/>
      <c r="M18" s="45">
        <f>+SUM(M11:M16)</f>
        <v>28</v>
      </c>
      <c r="N18" s="51"/>
      <c r="O18" s="45">
        <f>+SUM(O11:O16)</f>
        <v>6</v>
      </c>
      <c r="P18" s="51"/>
      <c r="Q18" s="45">
        <f>+SUM(Q11:Q16)</f>
        <v>3</v>
      </c>
      <c r="R18" s="51"/>
      <c r="S18" s="45">
        <f>+SUM(S11:S16)</f>
        <v>1481</v>
      </c>
      <c r="T18" s="51"/>
      <c r="U18" s="45">
        <f>+SUM(U11:U16)</f>
        <v>1690</v>
      </c>
      <c r="V18" s="51"/>
      <c r="W18" s="45">
        <f>+SUM(W11:W16)</f>
        <v>22</v>
      </c>
      <c r="X18" s="51"/>
      <c r="Y18" s="45">
        <f>+SUM(Y11:Y16)</f>
        <v>10</v>
      </c>
      <c r="Z18" s="51"/>
      <c r="AA18" s="45">
        <f>+SUM(AA11:AA16)</f>
        <v>21</v>
      </c>
      <c r="AB18" s="51"/>
      <c r="AC18" s="45">
        <f>+SUM(AC11:AC16)</f>
        <v>8</v>
      </c>
      <c r="AD18" s="52"/>
      <c r="AE18" s="45">
        <f>+SUM(AE11:AE16)</f>
        <v>1820</v>
      </c>
      <c r="AF18" s="52"/>
      <c r="AG18" s="45">
        <f>+SUM(AG11:AG16)</f>
        <v>1385</v>
      </c>
      <c r="AH18" s="52"/>
      <c r="AI18" s="45">
        <f>+SUM(AI11:AI16)</f>
        <v>1065</v>
      </c>
      <c r="AJ18" s="52"/>
      <c r="AK18" s="45">
        <f>+SUM(AK11:AK16)</f>
        <v>712</v>
      </c>
      <c r="AL18" s="157"/>
      <c r="AM18" s="45">
        <f>+SUM(AM11:AM16)</f>
        <v>628</v>
      </c>
      <c r="AN18" s="51"/>
      <c r="AO18" s="45">
        <f>+SUM(AO11:AO16)</f>
        <v>797</v>
      </c>
      <c r="AP18" s="51"/>
      <c r="AQ18" s="45">
        <f>+SUM(AQ11:AQ16)</f>
        <v>1635</v>
      </c>
      <c r="AR18" s="51"/>
      <c r="AS18" s="45">
        <f>+SUM(AS11:AS16)</f>
        <v>180</v>
      </c>
      <c r="AT18" s="51"/>
      <c r="AU18" s="45">
        <f>+SUM(AU11:AU16)</f>
        <v>52</v>
      </c>
      <c r="AV18" s="52"/>
      <c r="AW18" s="45">
        <f>+SUM(AW11:AW16)</f>
        <v>1304</v>
      </c>
      <c r="AX18" s="52"/>
      <c r="AY18" s="45">
        <f>+SUM(AY11:AY16)</f>
        <v>1581</v>
      </c>
      <c r="AZ18" s="52"/>
      <c r="BA18" s="45">
        <f>+SUM(BA11:BA16)</f>
        <v>3294</v>
      </c>
      <c r="BB18" s="42"/>
      <c r="BC18" s="45">
        <f>+SUM(BC11:BC16)</f>
        <v>352</v>
      </c>
      <c r="BD18" s="42"/>
      <c r="BE18" s="45">
        <f>+SUM(BE11:BE16)</f>
        <v>78</v>
      </c>
      <c r="BF18" s="46"/>
      <c r="BG18" s="45">
        <f>+SUM(BG11:BG16)</f>
        <v>0</v>
      </c>
      <c r="BI18" s="45">
        <f>+SUM(BI11:BI16)</f>
        <v>3724</v>
      </c>
    </row>
    <row r="19" spans="1:65" s="271" customFormat="1" x14ac:dyDescent="0.2">
      <c r="A19" s="270" t="s">
        <v>73</v>
      </c>
      <c r="C19" s="95">
        <f>100+61</f>
        <v>161</v>
      </c>
      <c r="D19" s="95"/>
      <c r="E19" s="95">
        <f>79+79</f>
        <v>158</v>
      </c>
      <c r="F19" s="95"/>
      <c r="G19" s="95">
        <f>4+2</f>
        <v>6</v>
      </c>
      <c r="H19" s="95"/>
      <c r="I19" s="95">
        <v>5</v>
      </c>
      <c r="J19" s="95"/>
      <c r="K19" s="95">
        <v>2</v>
      </c>
      <c r="L19" s="95"/>
      <c r="M19" s="95">
        <f>1+4</f>
        <v>5</v>
      </c>
      <c r="N19" s="95"/>
      <c r="O19" s="95">
        <v>1</v>
      </c>
      <c r="P19" s="95"/>
      <c r="Q19" s="95">
        <v>1</v>
      </c>
      <c r="R19" s="95"/>
      <c r="S19" s="95">
        <f>72+52</f>
        <v>124</v>
      </c>
      <c r="T19" s="95"/>
      <c r="U19" s="95">
        <f>116+92</f>
        <v>208</v>
      </c>
      <c r="V19" s="95"/>
      <c r="W19" s="95">
        <f>1+2</f>
        <v>3</v>
      </c>
      <c r="X19" s="95"/>
      <c r="Y19" s="95">
        <v>1</v>
      </c>
      <c r="Z19" s="95"/>
      <c r="AA19" s="95">
        <v>1</v>
      </c>
      <c r="AB19" s="95"/>
      <c r="AC19" s="95">
        <v>1</v>
      </c>
      <c r="AD19" s="95"/>
      <c r="AE19" s="95">
        <f>101+75</f>
        <v>176</v>
      </c>
      <c r="AF19" s="95"/>
      <c r="AG19" s="95">
        <f>90+76</f>
        <v>166</v>
      </c>
      <c r="AH19" s="95"/>
      <c r="AI19" s="95">
        <v>99</v>
      </c>
      <c r="AJ19" s="95"/>
      <c r="AK19" s="95">
        <f>91</f>
        <v>91</v>
      </c>
      <c r="AL19" s="95"/>
      <c r="AM19" s="95">
        <v>54</v>
      </c>
      <c r="AN19" s="95"/>
      <c r="AO19" s="95">
        <v>94</v>
      </c>
      <c r="AP19" s="95"/>
      <c r="AQ19" s="95">
        <f>122+82</f>
        <v>204</v>
      </c>
      <c r="AR19" s="95"/>
      <c r="AS19" s="95">
        <v>3</v>
      </c>
      <c r="AT19" s="95"/>
      <c r="AU19" s="95">
        <v>6</v>
      </c>
      <c r="AV19" s="95"/>
      <c r="AW19" s="95">
        <f>122+94</f>
        <v>216</v>
      </c>
      <c r="AX19" s="95"/>
      <c r="AY19" s="95">
        <f>67+49</f>
        <v>116</v>
      </c>
      <c r="AZ19" s="95"/>
      <c r="BA19" s="95"/>
      <c r="BB19" s="95"/>
      <c r="BC19" s="95"/>
      <c r="BD19" s="95"/>
      <c r="BE19" s="95"/>
      <c r="BF19" s="188"/>
      <c r="BG19" s="188"/>
      <c r="BH19" s="188"/>
      <c r="BI19" s="188"/>
      <c r="BJ19" s="188"/>
      <c r="BK19" s="188"/>
      <c r="BL19" s="188"/>
      <c r="BM19" s="188"/>
    </row>
    <row r="20" spans="1:65" s="273" customFormat="1" x14ac:dyDescent="0.2">
      <c r="A20" s="272" t="s">
        <v>25</v>
      </c>
      <c r="C20" s="49">
        <f>17+21</f>
        <v>38</v>
      </c>
      <c r="D20" s="49"/>
      <c r="E20" s="49">
        <f>6+25</f>
        <v>31</v>
      </c>
      <c r="F20" s="49"/>
      <c r="G20" s="49">
        <v>1</v>
      </c>
      <c r="H20" s="49"/>
      <c r="I20" s="49">
        <v>0</v>
      </c>
      <c r="J20" s="49"/>
      <c r="K20" s="49">
        <v>0</v>
      </c>
      <c r="L20" s="49"/>
      <c r="M20" s="49">
        <v>0</v>
      </c>
      <c r="N20" s="49"/>
      <c r="O20" s="49">
        <v>1</v>
      </c>
      <c r="P20" s="49"/>
      <c r="Q20" s="49">
        <v>0</v>
      </c>
      <c r="R20" s="49"/>
      <c r="S20" s="49">
        <f>14+21</f>
        <v>35</v>
      </c>
      <c r="T20" s="49"/>
      <c r="U20" s="49">
        <f>12+26</f>
        <v>38</v>
      </c>
      <c r="V20" s="49"/>
      <c r="W20" s="49">
        <v>0</v>
      </c>
      <c r="X20" s="49"/>
      <c r="Y20" s="49">
        <v>0</v>
      </c>
      <c r="Z20" s="49"/>
      <c r="AA20" s="49">
        <v>1</v>
      </c>
      <c r="AB20" s="49"/>
      <c r="AC20" s="49">
        <v>0</v>
      </c>
      <c r="AD20" s="49"/>
      <c r="AE20" s="49">
        <f>18+21</f>
        <v>39</v>
      </c>
      <c r="AF20" s="49"/>
      <c r="AG20" s="49">
        <f>10+27</f>
        <v>37</v>
      </c>
      <c r="AH20" s="49"/>
      <c r="AI20" s="49">
        <v>16</v>
      </c>
      <c r="AJ20" s="49"/>
      <c r="AK20" s="49">
        <v>11</v>
      </c>
      <c r="AL20" s="49"/>
      <c r="AM20" s="49">
        <v>20</v>
      </c>
      <c r="AN20" s="49"/>
      <c r="AO20" s="49">
        <v>26</v>
      </c>
      <c r="AP20" s="49"/>
      <c r="AQ20" s="49">
        <f>11+21</f>
        <v>32</v>
      </c>
      <c r="AR20" s="49"/>
      <c r="AS20" s="49">
        <f>3</f>
        <v>3</v>
      </c>
      <c r="AT20" s="49"/>
      <c r="AU20" s="49">
        <v>0</v>
      </c>
      <c r="AV20" s="49"/>
      <c r="AW20" s="49">
        <f>14+20</f>
        <v>34</v>
      </c>
      <c r="AX20" s="49"/>
      <c r="AY20" s="49">
        <f>12+17</f>
        <v>29</v>
      </c>
      <c r="AZ20" s="49"/>
      <c r="BA20" s="49"/>
      <c r="BB20" s="49"/>
      <c r="BC20" s="49"/>
      <c r="BD20" s="49"/>
      <c r="BE20" s="49"/>
      <c r="BF20" s="276"/>
      <c r="BG20" s="276"/>
      <c r="BH20" s="276"/>
      <c r="BI20" s="276"/>
      <c r="BJ20" s="276"/>
      <c r="BK20" s="276"/>
      <c r="BL20" s="276"/>
      <c r="BM20" s="276"/>
    </row>
    <row r="21" spans="1:65" ht="13.5" thickBot="1" x14ac:dyDescent="0.25">
      <c r="A21" s="36" t="s">
        <v>79</v>
      </c>
      <c r="B21" s="110"/>
      <c r="C21" s="35">
        <v>4</v>
      </c>
      <c r="D21" s="35"/>
      <c r="E21" s="35">
        <v>16</v>
      </c>
      <c r="F21" s="35"/>
      <c r="G21" s="35">
        <v>0</v>
      </c>
      <c r="H21" s="35"/>
      <c r="I21" s="35">
        <v>0</v>
      </c>
      <c r="J21" s="35"/>
      <c r="K21" s="35">
        <v>0</v>
      </c>
      <c r="L21" s="35"/>
      <c r="M21" s="35">
        <v>0</v>
      </c>
      <c r="N21" s="35"/>
      <c r="O21" s="35">
        <v>0</v>
      </c>
      <c r="P21" s="35"/>
      <c r="Q21" s="35">
        <v>0</v>
      </c>
      <c r="R21" s="35"/>
      <c r="S21" s="35">
        <v>3</v>
      </c>
      <c r="T21" s="35"/>
      <c r="U21" s="35">
        <v>16</v>
      </c>
      <c r="V21" s="35"/>
      <c r="W21" s="35">
        <v>0</v>
      </c>
      <c r="Y21" s="35">
        <v>0</v>
      </c>
      <c r="Z21" s="35"/>
      <c r="AA21" s="35">
        <v>1</v>
      </c>
      <c r="AB21" s="35"/>
      <c r="AC21" s="150">
        <v>0</v>
      </c>
      <c r="AE21" s="150">
        <v>3</v>
      </c>
      <c r="AG21" s="150">
        <v>17</v>
      </c>
      <c r="AI21" s="150">
        <v>0</v>
      </c>
      <c r="AK21" s="35">
        <v>0</v>
      </c>
      <c r="AL21" s="35"/>
      <c r="AM21" s="35">
        <v>0</v>
      </c>
      <c r="AN21" s="35"/>
      <c r="AO21" s="35">
        <v>0</v>
      </c>
      <c r="AP21" s="35"/>
      <c r="AQ21" s="35">
        <v>3</v>
      </c>
      <c r="AR21" s="35"/>
      <c r="AS21" s="35">
        <v>0</v>
      </c>
      <c r="AU21" s="35">
        <v>0</v>
      </c>
      <c r="AV21" s="35"/>
      <c r="AW21" s="35">
        <v>9</v>
      </c>
      <c r="AX21" s="35"/>
      <c r="AY21" s="35">
        <v>6</v>
      </c>
      <c r="AZ21" s="35"/>
    </row>
    <row r="22" spans="1:65" s="47" customFormat="1" ht="13.5" thickBot="1" x14ac:dyDescent="0.25">
      <c r="A22" s="3" t="s">
        <v>26</v>
      </c>
      <c r="C22" s="41">
        <f>+SUM(C18:C21)</f>
        <v>1961</v>
      </c>
      <c r="D22" s="31"/>
      <c r="E22" s="41">
        <f>+SUM(E18:E21)</f>
        <v>1551</v>
      </c>
      <c r="F22" s="31"/>
      <c r="G22" s="41">
        <f>+SUM(G18:G21)</f>
        <v>61</v>
      </c>
      <c r="H22" s="31"/>
      <c r="I22" s="41">
        <f>+SUM(I18:I21)</f>
        <v>22</v>
      </c>
      <c r="J22" s="31"/>
      <c r="K22" s="41">
        <f>+SUM(K18:K21)</f>
        <v>26</v>
      </c>
      <c r="L22" s="42"/>
      <c r="M22" s="41">
        <f>+SUM(M18:M21)</f>
        <v>33</v>
      </c>
      <c r="N22" s="42"/>
      <c r="O22" s="41">
        <f>+SUM(O18:O21)</f>
        <v>8</v>
      </c>
      <c r="P22" s="42"/>
      <c r="Q22" s="41">
        <f>+SUM(Q18:Q21)</f>
        <v>4</v>
      </c>
      <c r="R22" s="42"/>
      <c r="S22" s="41">
        <f>+SUM(S18:S21)</f>
        <v>1643</v>
      </c>
      <c r="T22" s="42"/>
      <c r="U22" s="41">
        <f>+SUM(U18:U21)</f>
        <v>1952</v>
      </c>
      <c r="V22" s="42"/>
      <c r="W22" s="41">
        <f>+SUM(W18:W21)</f>
        <v>25</v>
      </c>
      <c r="X22" s="42"/>
      <c r="Y22" s="41">
        <f>+SUM(Y18:Y21)</f>
        <v>11</v>
      </c>
      <c r="Z22" s="42"/>
      <c r="AA22" s="41">
        <f>+SUM(AA18:AA21)</f>
        <v>24</v>
      </c>
      <c r="AB22" s="42"/>
      <c r="AC22" s="41">
        <f>+SUM(AC18:AC21)</f>
        <v>9</v>
      </c>
      <c r="AD22" s="31"/>
      <c r="AE22" s="41">
        <f>+SUM(AE18:AE21)</f>
        <v>2038</v>
      </c>
      <c r="AF22" s="31"/>
      <c r="AG22" s="41">
        <f>+SUM(AG18:AG21)</f>
        <v>1605</v>
      </c>
      <c r="AH22" s="31"/>
      <c r="AI22" s="41">
        <f>+SUM(AI18:AI21)</f>
        <v>1180</v>
      </c>
      <c r="AJ22" s="31"/>
      <c r="AK22" s="41">
        <f>+SUM(AK18:AK21)</f>
        <v>814</v>
      </c>
      <c r="AL22" s="42"/>
      <c r="AM22" s="41">
        <f>+SUM(AM18:AM21)</f>
        <v>702</v>
      </c>
      <c r="AN22" s="42"/>
      <c r="AO22" s="41">
        <f>+SUM(AO18:AO21)</f>
        <v>917</v>
      </c>
      <c r="AP22" s="42"/>
      <c r="AQ22" s="41">
        <f>+SUM(AQ18:AQ21)</f>
        <v>1874</v>
      </c>
      <c r="AR22" s="42"/>
      <c r="AS22" s="41">
        <f>+SUM(AS18:AS21)</f>
        <v>186</v>
      </c>
      <c r="AT22" s="42"/>
      <c r="AU22" s="41">
        <f>+SUM(AU18:AU21)</f>
        <v>58</v>
      </c>
      <c r="AV22" s="31"/>
      <c r="AW22" s="41">
        <f>+SUM(AW18:AW21)</f>
        <v>1563</v>
      </c>
      <c r="AX22" s="31"/>
      <c r="AY22" s="41">
        <f>+SUM(AY18:AY21)</f>
        <v>1732</v>
      </c>
      <c r="AZ22" s="31"/>
    </row>
    <row r="23" spans="1:65" s="47" customFormat="1" x14ac:dyDescent="0.2">
      <c r="A23" s="3"/>
      <c r="C23" s="42"/>
      <c r="D23" s="31"/>
      <c r="E23" s="42"/>
      <c r="F23" s="31"/>
      <c r="G23" s="42"/>
      <c r="H23" s="31"/>
      <c r="I23" s="42"/>
      <c r="J23" s="31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190"/>
      <c r="AD23" s="158"/>
      <c r="AE23" s="190"/>
      <c r="AF23" s="158"/>
      <c r="AG23" s="190"/>
      <c r="AH23" s="158"/>
      <c r="AI23" s="190"/>
      <c r="AJ23" s="158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31"/>
      <c r="AW23" s="42"/>
      <c r="AX23" s="31"/>
      <c r="AY23" s="42"/>
      <c r="AZ23" s="31"/>
    </row>
    <row r="24" spans="1:65" s="6" customFormat="1" x14ac:dyDescent="0.2">
      <c r="A24" s="3"/>
      <c r="C24" s="192"/>
      <c r="D24" s="31"/>
      <c r="E24" s="192"/>
      <c r="F24" s="31"/>
      <c r="G24" s="192"/>
      <c r="H24" s="31"/>
      <c r="I24" s="192"/>
      <c r="J24" s="31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0"/>
      <c r="AD24" s="158"/>
      <c r="AE24" s="190"/>
      <c r="AF24" s="158"/>
      <c r="AG24" s="190"/>
      <c r="AH24" s="158"/>
      <c r="AI24" s="190"/>
      <c r="AJ24" s="158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0"/>
      <c r="BB24" s="10"/>
      <c r="BC24" s="10"/>
      <c r="BD24" s="192"/>
      <c r="BE24" s="192"/>
      <c r="BF24" s="12"/>
      <c r="BG24" s="12"/>
      <c r="BH24" s="12"/>
      <c r="BI24" s="12"/>
      <c r="BJ24" s="12"/>
      <c r="BK24" s="12"/>
      <c r="BL24" s="12"/>
      <c r="BM24" s="12"/>
    </row>
    <row r="25" spans="1:65" s="6" customFormat="1" x14ac:dyDescent="0.2">
      <c r="A25" s="3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50"/>
      <c r="AD25" s="50"/>
      <c r="AE25" s="50"/>
      <c r="AF25" s="50"/>
      <c r="AG25" s="50"/>
      <c r="AH25" s="50"/>
      <c r="AI25" s="50"/>
      <c r="AJ25" s="50"/>
      <c r="AK25" s="192"/>
      <c r="AL25" s="192"/>
      <c r="AM25" s="192"/>
      <c r="AN25" s="192"/>
      <c r="AO25" s="192"/>
      <c r="AP25" s="192"/>
      <c r="AQ25" s="192"/>
      <c r="AR25" s="192"/>
      <c r="AS25" s="192"/>
      <c r="AT25" s="192"/>
      <c r="AU25" s="192"/>
      <c r="AV25" s="192"/>
      <c r="AW25" s="192"/>
      <c r="AX25" s="192"/>
      <c r="AY25" s="192"/>
      <c r="AZ25" s="192"/>
      <c r="BA25" s="10"/>
      <c r="BB25" s="10"/>
      <c r="BC25" s="10"/>
      <c r="BD25" s="192"/>
      <c r="BE25" s="192"/>
      <c r="BF25" s="12"/>
      <c r="BG25" s="12"/>
      <c r="BH25" s="12"/>
      <c r="BI25" s="12"/>
      <c r="BJ25" s="12"/>
      <c r="BK25" s="12"/>
      <c r="BL25" s="12"/>
      <c r="BM25" s="12"/>
    </row>
    <row r="26" spans="1:65" x14ac:dyDescent="0.2">
      <c r="A26" s="216"/>
    </row>
    <row r="27" spans="1:65" x14ac:dyDescent="0.2">
      <c r="B27" s="37"/>
    </row>
    <row r="28" spans="1:65" x14ac:dyDescent="0.2">
      <c r="B28" s="217"/>
    </row>
    <row r="29" spans="1:65" x14ac:dyDescent="0.2">
      <c r="B29" s="217"/>
    </row>
    <row r="30" spans="1:65" x14ac:dyDescent="0.2">
      <c r="B30" s="217"/>
    </row>
    <row r="31" spans="1:65" x14ac:dyDescent="0.2">
      <c r="B31" s="217"/>
    </row>
    <row r="32" spans="1:65" x14ac:dyDescent="0.2">
      <c r="B32" s="217"/>
    </row>
    <row r="33" spans="1:36" x14ac:dyDescent="0.2">
      <c r="B33" s="217"/>
    </row>
    <row r="34" spans="1:36" x14ac:dyDescent="0.2">
      <c r="A34" s="3"/>
      <c r="B34" s="217"/>
    </row>
    <row r="35" spans="1:36" x14ac:dyDescent="0.2">
      <c r="A35" s="150"/>
      <c r="B35" s="217"/>
      <c r="C35" s="95"/>
      <c r="D35" s="188"/>
      <c r="E35" s="95"/>
      <c r="F35" s="188"/>
      <c r="G35" s="95"/>
      <c r="H35" s="188"/>
      <c r="I35" s="95"/>
      <c r="J35" s="188"/>
    </row>
    <row r="36" spans="1:36" x14ac:dyDescent="0.2">
      <c r="A36" s="150"/>
      <c r="B36" s="217"/>
      <c r="C36" s="95"/>
      <c r="D36" s="188"/>
      <c r="E36" s="95"/>
      <c r="F36" s="188"/>
      <c r="G36" s="95"/>
      <c r="H36" s="188"/>
      <c r="I36" s="95"/>
      <c r="J36" s="188"/>
    </row>
    <row r="37" spans="1:36" x14ac:dyDescent="0.2">
      <c r="A37" s="150"/>
      <c r="B37" s="217"/>
      <c r="C37" s="95"/>
      <c r="D37" s="188"/>
      <c r="E37" s="95"/>
      <c r="F37" s="188"/>
      <c r="G37" s="95"/>
      <c r="H37" s="188"/>
      <c r="I37" s="95"/>
      <c r="J37" s="188"/>
    </row>
    <row r="38" spans="1:36" x14ac:dyDescent="0.2">
      <c r="A38" s="150"/>
      <c r="B38" s="217"/>
      <c r="C38" s="47"/>
      <c r="D38" s="47"/>
      <c r="E38" s="47"/>
      <c r="F38" s="47"/>
      <c r="G38" s="47"/>
      <c r="H38" s="47"/>
      <c r="I38" s="47"/>
      <c r="J38" s="47"/>
      <c r="AC38" s="50"/>
      <c r="AD38" s="50"/>
      <c r="AE38" s="50"/>
      <c r="AF38" s="50"/>
      <c r="AG38" s="50"/>
      <c r="AH38" s="50"/>
      <c r="AI38" s="50"/>
      <c r="AJ38" s="50"/>
    </row>
    <row r="39" spans="1:36" x14ac:dyDescent="0.2">
      <c r="A39" s="150"/>
      <c r="B39" s="217"/>
    </row>
  </sheetData>
  <customSheetViews>
    <customSheetView guid="{E44E71C3-F2DB-4787-90CC-B0F1BDA00262}" scale="75" showPageBreaks="1" printArea="1" view="pageBreakPreview">
      <pane xSplit="1" ySplit="9" topLeftCell="B10" activePane="bottomRight" state="frozen"/>
      <selection pane="bottomRight" activeCell="AS8" sqref="C4:AS8"/>
      <colBreaks count="2" manualBreakCount="2">
        <brk id="24" max="1048575" man="1"/>
        <brk id="85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&amp;C&amp;"Arial,Bold"&amp;11City of Abescon
General Election - November 7, 2017
 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B6" activePane="bottomRight" state="frozen"/>
      <selection pane="bottomRight" activeCell="BG1" sqref="BG1:BJ1048576"/>
      <colBreaks count="2" manualBreakCount="2">
        <brk id="24" max="1048575" man="1"/>
        <brk id="85" max="1048575" man="1"/>
      </colBreaks>
      <pageMargins left="0.75" right="0.75" top="1" bottom="1" header="0.5" footer="0.5"/>
      <pageSetup paperSize="5" scale="75" orientation="landscape" r:id="rId2"/>
      <headerFooter alignWithMargins="0">
        <oddHeader xml:space="preserve">&amp;C&amp;"Arial,Bold"&amp;11City of Abescon
General Election - November 3, 2015
 Prepared by the Office of Edward P. McGettigan, Atlantic County Clerk
&amp;10
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B6" activePane="bottomRight" state="frozen"/>
      <selection pane="bottomRight" activeCell="C19" sqref="C19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3"/>
      <headerFooter alignWithMargins="0">
        <oddHeader xml:space="preserve">&amp;C&amp;"Arial,Bold"&amp;11City of Abescon
General Election - November 3, 2015
 Prepared by the Office of Edward P. McGettigan, Atlantic County Clerk
&amp;10
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L6" activePane="bottomRight" state="frozen"/>
      <selection pane="bottomRight" activeCell="AN14" sqref="AN14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4"/>
      <headerFooter alignWithMargins="0">
        <oddHeader xml:space="preserve">&amp;C&amp;"Arial,Bold"&amp;11City of Abescon
General Election - November 3, 2015
 Prepared by the Office of Edward P. McGettigan, Atlantic County Clerk
&amp;10
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B6" activePane="bottomRight" state="frozen"/>
      <selection pane="bottomRight" activeCell="BG1" sqref="BG1:BJ1048576"/>
      <colBreaks count="2" manualBreakCount="2">
        <brk id="24" max="1048575" man="1"/>
        <brk id="85" max="1048575" man="1"/>
      </colBreaks>
      <pageMargins left="0.75" right="0.75" top="1" bottom="1" header="0.5" footer="0.5"/>
      <pageSetup paperSize="5" scale="75" orientation="landscape" r:id="rId5"/>
      <headerFooter alignWithMargins="0">
        <oddHeader xml:space="preserve">&amp;C&amp;"Arial,Bold"&amp;11City of Abescon
General Election - November 3, 2015
 Prepared by the Office of Edward P. McGettigan, Atlantic County Clerk
&amp;10
</oddHeader>
        <oddFooter>&amp;R&amp;11Page &amp;P</oddFooter>
      </headerFooter>
    </customSheetView>
  </customSheetViews>
  <mergeCells count="8">
    <mergeCell ref="AQ4:AU4"/>
    <mergeCell ref="AQ5:AU5"/>
    <mergeCell ref="AW5:AY5"/>
    <mergeCell ref="C5:Q5"/>
    <mergeCell ref="S5:AC5"/>
    <mergeCell ref="AE5:AG5"/>
    <mergeCell ref="AI5:AK5"/>
    <mergeCell ref="AM5:AO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 xml:space="preserve">&amp;C&amp;"Arial,Bold"&amp;11City of Abescon
General Election - November 6, 2018
 Prepared by the Office of Edward P. McGettigan, Atlantic County Clerk
&amp;10
</oddHeader>
    <oddFooter>&amp;R&amp;11Page &amp;P</oddFooter>
  </headerFooter>
  <colBreaks count="2" manualBreakCount="2">
    <brk id="29" max="22" man="1"/>
    <brk id="67" max="1048575" man="1"/>
  </colBreaks>
  <ignoredErrors>
    <ignoredError sqref="BA19:BI19 C17:AM18 BA20:BI20 BA17:BI18 BH15:BI16 BH12:BI13 BH14:BI14 C13:AR13 C16:AR16 C14:AR14 C12:AR12 AT12 AT13 AV12:BG12 AV13:BG13 AT14 AV14:BB14 C15:AR15 AT15 AV15:BG15 AT16 AV16:BG16 BD14:BE14 BF14:BG14 AO17:AO18 AQ17:AQ18 AS17:AZ18" unlockedFormula="1"/>
  </ignoredErrors>
  <drawing r:id="rId7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T31"/>
  <sheetViews>
    <sheetView zoomScale="75" zoomScaleNormal="75" zoomScaleSheetLayoutView="75" workbookViewId="0">
      <pane xSplit="1" ySplit="10" topLeftCell="T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33" customWidth="1"/>
    <col min="5" max="5" width="12.140625" style="33" customWidth="1"/>
    <col min="6" max="6" width="1.7109375" style="33" customWidth="1"/>
    <col min="7" max="7" width="12.14062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2.14062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4.85546875" style="33" bestFit="1" customWidth="1"/>
    <col min="18" max="18" width="1.7109375" style="33" customWidth="1"/>
    <col min="19" max="19" width="13.7109375" style="33" bestFit="1" customWidth="1"/>
    <col min="20" max="20" width="1.7109375" style="33" customWidth="1"/>
    <col min="21" max="21" width="12.1406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2.140625" style="33" customWidth="1"/>
    <col min="28" max="28" width="1.7109375" style="33" customWidth="1"/>
    <col min="29" max="29" width="12.140625" style="33" customWidth="1"/>
    <col min="30" max="30" width="1.7109375" style="33" customWidth="1"/>
    <col min="31" max="31" width="12.140625" style="33" customWidth="1"/>
    <col min="32" max="32" width="1.7109375" style="33" customWidth="1"/>
    <col min="33" max="33" width="13.7109375" style="33" bestFit="1" customWidth="1"/>
    <col min="34" max="34" width="1.7109375" style="33" customWidth="1"/>
    <col min="35" max="35" width="12.140625" style="33" customWidth="1"/>
    <col min="36" max="36" width="1.7109375" style="33" customWidth="1"/>
    <col min="37" max="37" width="16.7109375" style="33" customWidth="1"/>
    <col min="38" max="38" width="1.7109375" style="33" customWidth="1"/>
    <col min="39" max="39" width="12.140625" style="33" customWidth="1"/>
    <col min="40" max="40" width="1.7109375" style="33" customWidth="1"/>
    <col min="41" max="41" width="12.140625" style="33" customWidth="1"/>
    <col min="42" max="42" width="1.7109375" style="33" customWidth="1"/>
    <col min="43" max="43" width="12.140625" style="33" customWidth="1"/>
    <col min="44" max="44" width="1.7109375" style="33" customWidth="1"/>
    <col min="45" max="45" width="12.140625" style="33" customWidth="1"/>
    <col min="46" max="46" width="1.7109375" style="33" customWidth="1"/>
    <col min="47" max="47" width="12.140625" style="33" customWidth="1"/>
    <col min="48" max="48" width="1.7109375" style="33" customWidth="1"/>
    <col min="49" max="49" width="12.140625" style="33" customWidth="1"/>
    <col min="50" max="50" width="1.7109375" style="33" customWidth="1"/>
    <col min="51" max="51" width="12.140625" style="33" customWidth="1"/>
    <col min="52" max="52" width="1.7109375" style="33" customWidth="1"/>
    <col min="53" max="53" width="14.42578125" style="33" bestFit="1" customWidth="1"/>
    <col min="54" max="54" width="1.7109375" style="33" customWidth="1"/>
    <col min="55" max="55" width="11.85546875" style="33" customWidth="1"/>
    <col min="56" max="56" width="1.7109375" style="33" customWidth="1"/>
    <col min="57" max="57" width="9.7109375" style="33" customWidth="1"/>
    <col min="58" max="58" width="1.7109375" style="33" customWidth="1"/>
    <col min="59" max="59" width="9.7109375" style="33" customWidth="1"/>
    <col min="60" max="60" width="1.7109375" style="33" customWidth="1"/>
    <col min="61" max="61" width="9.28515625" style="33" customWidth="1"/>
    <col min="62" max="62" width="1.7109375" style="33" customWidth="1"/>
    <col min="63" max="63" width="9.28515625" style="33" customWidth="1"/>
    <col min="64" max="64" width="1.7109375" style="33" customWidth="1"/>
    <col min="65" max="65" width="9.7109375" style="1" customWidth="1"/>
    <col min="66" max="66" width="1.7109375" style="1" customWidth="1"/>
    <col min="67" max="67" width="9.140625" style="1" customWidth="1"/>
    <col min="68" max="68" width="1.7109375" style="1" customWidth="1"/>
    <col min="69" max="69" width="11.85546875" style="1" customWidth="1"/>
    <col min="70" max="70" width="1.7109375" style="1" customWidth="1"/>
    <col min="71" max="71" width="11.28515625" style="1" customWidth="1"/>
    <col min="72" max="72" width="1.7109375" style="19" customWidth="1"/>
    <col min="73" max="73" width="10.28515625" style="33" customWidth="1"/>
    <col min="74" max="74" width="1.7109375" style="33" customWidth="1"/>
    <col min="75" max="75" width="12" style="33" customWidth="1"/>
    <col min="76" max="76" width="1.7109375" style="19" customWidth="1"/>
    <col min="77" max="77" width="11.85546875" style="19" customWidth="1"/>
    <col min="78" max="78" width="1.7109375" style="19" customWidth="1"/>
    <col min="79" max="79" width="11.85546875" style="19" customWidth="1"/>
    <col min="80" max="80" width="1.7109375" style="19" customWidth="1"/>
    <col min="81" max="81" width="11.85546875" style="19" customWidth="1"/>
    <col min="82" max="82" width="1.7109375" style="19" customWidth="1"/>
    <col min="83" max="83" width="11.85546875" style="19" customWidth="1"/>
    <col min="84" max="84" width="1.7109375" style="19" customWidth="1"/>
    <col min="85" max="85" width="11.85546875" style="19" customWidth="1"/>
    <col min="86" max="86" width="1.7109375" style="19" customWidth="1"/>
    <col min="87" max="87" width="11.85546875" style="19" customWidth="1"/>
    <col min="88" max="88" width="1.7109375" style="19" customWidth="1"/>
    <col min="89" max="89" width="9.140625" style="19"/>
    <col min="90" max="90" width="1.7109375" style="19" customWidth="1"/>
    <col min="91" max="91" width="9.140625" style="19"/>
    <col min="92" max="92" width="1.7109375" style="19" customWidth="1"/>
    <col min="93" max="93" width="9.140625" style="19"/>
    <col min="94" max="94" width="1.7109375" style="19" customWidth="1"/>
    <col min="95" max="124" width="9.140625" style="19"/>
    <col min="125" max="16384" width="9.140625" style="11"/>
  </cols>
  <sheetData>
    <row r="1" spans="1:124" s="407" customFormat="1" ht="14.25" x14ac:dyDescent="0.2">
      <c r="A1" s="309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  <c r="AH1" s="408"/>
      <c r="AI1" s="408"/>
      <c r="AJ1" s="408"/>
      <c r="AK1" s="408"/>
      <c r="AL1" s="408"/>
      <c r="AM1" s="408"/>
      <c r="AN1" s="408"/>
      <c r="AO1" s="408"/>
      <c r="AP1" s="408"/>
      <c r="AQ1" s="408"/>
      <c r="AR1" s="408"/>
      <c r="AS1" s="408"/>
      <c r="AT1" s="408"/>
      <c r="AU1" s="408"/>
      <c r="AV1" s="408"/>
      <c r="AW1" s="408"/>
      <c r="AX1" s="408"/>
      <c r="AY1" s="408"/>
      <c r="AZ1" s="408"/>
      <c r="BA1" s="408"/>
      <c r="BB1" s="408"/>
      <c r="BC1" s="408"/>
      <c r="BD1" s="408"/>
      <c r="BE1" s="408"/>
      <c r="BF1" s="408"/>
      <c r="BG1" s="408"/>
      <c r="BH1" s="408"/>
      <c r="BI1" s="408"/>
      <c r="BJ1" s="408"/>
      <c r="BK1" s="408"/>
      <c r="BL1" s="408"/>
      <c r="BM1" s="360"/>
      <c r="BN1" s="360"/>
      <c r="BO1" s="360"/>
      <c r="BP1" s="360"/>
      <c r="BQ1" s="360"/>
      <c r="BR1" s="360"/>
      <c r="BS1" s="360"/>
      <c r="BT1" s="409"/>
      <c r="BU1" s="408"/>
      <c r="BV1" s="408"/>
      <c r="BW1" s="408"/>
      <c r="BX1" s="409"/>
      <c r="BY1" s="409"/>
      <c r="BZ1" s="409"/>
      <c r="CA1" s="409"/>
      <c r="CB1" s="409"/>
      <c r="CC1" s="409"/>
      <c r="CD1" s="409"/>
      <c r="CE1" s="409"/>
      <c r="CF1" s="409"/>
      <c r="CG1" s="409"/>
      <c r="CH1" s="409"/>
      <c r="CI1" s="409"/>
      <c r="CJ1" s="409"/>
      <c r="CK1" s="409"/>
      <c r="CL1" s="409"/>
      <c r="CM1" s="409"/>
      <c r="CN1" s="409"/>
      <c r="CO1" s="409"/>
      <c r="CP1" s="409"/>
      <c r="CQ1" s="409"/>
      <c r="CR1" s="409"/>
      <c r="CS1" s="409"/>
      <c r="CT1" s="409"/>
      <c r="CU1" s="409"/>
      <c r="CV1" s="409"/>
      <c r="CW1" s="409"/>
      <c r="CX1" s="409"/>
      <c r="CY1" s="409"/>
      <c r="CZ1" s="409"/>
      <c r="DA1" s="409"/>
      <c r="DB1" s="409"/>
      <c r="DC1" s="409"/>
      <c r="DD1" s="409"/>
      <c r="DE1" s="409"/>
      <c r="DF1" s="409"/>
      <c r="DG1" s="409"/>
      <c r="DH1" s="409"/>
      <c r="DI1" s="409"/>
      <c r="DJ1" s="409"/>
      <c r="DK1" s="409"/>
      <c r="DL1" s="409"/>
      <c r="DM1" s="409"/>
      <c r="DN1" s="409"/>
      <c r="DO1" s="409"/>
      <c r="DP1" s="409"/>
      <c r="DQ1" s="409"/>
      <c r="DR1" s="409"/>
      <c r="DS1" s="409"/>
      <c r="DT1" s="409"/>
    </row>
    <row r="2" spans="1:124" s="407" customFormat="1" ht="14.25" x14ac:dyDescent="0.2">
      <c r="A2" s="309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  <c r="AQ2" s="408"/>
      <c r="AR2" s="408"/>
      <c r="AS2" s="408"/>
      <c r="AT2" s="408"/>
      <c r="AU2" s="408"/>
      <c r="AV2" s="408"/>
      <c r="AW2" s="408"/>
      <c r="AX2" s="408"/>
      <c r="AY2" s="408"/>
      <c r="AZ2" s="408"/>
      <c r="BA2" s="408"/>
      <c r="BB2" s="408"/>
      <c r="BC2" s="408"/>
      <c r="BD2" s="408"/>
      <c r="BE2" s="408"/>
      <c r="BF2" s="408"/>
      <c r="BG2" s="408"/>
      <c r="BH2" s="408"/>
      <c r="BI2" s="408"/>
      <c r="BJ2" s="408"/>
      <c r="BK2" s="408"/>
      <c r="BL2" s="408"/>
      <c r="BM2" s="360"/>
      <c r="BN2" s="360"/>
      <c r="BO2" s="360"/>
      <c r="BP2" s="360"/>
      <c r="BQ2" s="360"/>
      <c r="BR2" s="360"/>
      <c r="BS2" s="360"/>
      <c r="BT2" s="409"/>
      <c r="BU2" s="408"/>
      <c r="BV2" s="408"/>
      <c r="BW2" s="408"/>
      <c r="BX2" s="409"/>
      <c r="BY2" s="409"/>
      <c r="BZ2" s="409"/>
      <c r="CA2" s="409"/>
      <c r="CB2" s="409"/>
      <c r="CC2" s="409"/>
      <c r="CD2" s="409"/>
      <c r="CE2" s="409"/>
      <c r="CF2" s="409"/>
      <c r="CG2" s="409"/>
      <c r="CH2" s="409"/>
      <c r="CI2" s="409"/>
      <c r="CJ2" s="409"/>
      <c r="CK2" s="409"/>
      <c r="CL2" s="409"/>
      <c r="CM2" s="409"/>
      <c r="CN2" s="409"/>
      <c r="CO2" s="409"/>
      <c r="CP2" s="409"/>
      <c r="CQ2" s="409"/>
      <c r="CR2" s="409"/>
      <c r="CS2" s="409"/>
      <c r="CT2" s="409"/>
      <c r="CU2" s="409"/>
      <c r="CV2" s="409"/>
      <c r="CW2" s="409"/>
      <c r="CX2" s="409"/>
      <c r="CY2" s="409"/>
      <c r="CZ2" s="409"/>
      <c r="DA2" s="409"/>
      <c r="DB2" s="409"/>
      <c r="DC2" s="409"/>
      <c r="DD2" s="409"/>
      <c r="DE2" s="409"/>
      <c r="DF2" s="409"/>
      <c r="DG2" s="409"/>
      <c r="DH2" s="409"/>
      <c r="DI2" s="409"/>
      <c r="DJ2" s="409"/>
      <c r="DK2" s="409"/>
      <c r="DL2" s="409"/>
      <c r="DM2" s="409"/>
      <c r="DN2" s="409"/>
      <c r="DO2" s="409"/>
      <c r="DP2" s="409"/>
      <c r="DQ2" s="409"/>
      <c r="DR2" s="409"/>
      <c r="DS2" s="409"/>
      <c r="DT2" s="409"/>
    </row>
    <row r="3" spans="1:124" s="407" customFormat="1" ht="15" x14ac:dyDescent="0.25">
      <c r="A3" s="309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  <c r="AN3" s="408"/>
      <c r="AO3" s="408"/>
      <c r="AP3" s="408"/>
      <c r="AQ3" s="408"/>
      <c r="AR3" s="408"/>
      <c r="AS3" s="408"/>
      <c r="AT3" s="408"/>
      <c r="AU3" s="408"/>
      <c r="AV3" s="408"/>
      <c r="AW3" s="408"/>
      <c r="AX3" s="408"/>
      <c r="AY3" s="408"/>
      <c r="AZ3" s="408"/>
      <c r="BA3" s="459" t="s">
        <v>144</v>
      </c>
      <c r="BB3" s="459"/>
      <c r="BC3" s="459"/>
      <c r="BD3" s="408"/>
      <c r="BE3" s="408"/>
      <c r="BF3" s="408"/>
      <c r="BG3" s="408"/>
      <c r="BH3" s="408"/>
      <c r="BI3" s="408"/>
      <c r="BJ3" s="408"/>
      <c r="BK3" s="408"/>
      <c r="BL3" s="408"/>
      <c r="BM3" s="360"/>
      <c r="BN3" s="360"/>
      <c r="BO3" s="360"/>
      <c r="BP3" s="360"/>
      <c r="BQ3" s="360"/>
      <c r="BR3" s="360"/>
      <c r="BS3" s="360"/>
      <c r="BT3" s="409"/>
      <c r="BU3" s="408"/>
      <c r="BV3" s="408"/>
      <c r="BW3" s="408"/>
      <c r="BX3" s="409"/>
      <c r="BY3" s="409"/>
      <c r="BZ3" s="409"/>
      <c r="CA3" s="409"/>
      <c r="CB3" s="409"/>
      <c r="CC3" s="409"/>
      <c r="CD3" s="409"/>
      <c r="CE3" s="409"/>
      <c r="CF3" s="409"/>
      <c r="CG3" s="409"/>
      <c r="CH3" s="409"/>
      <c r="CI3" s="409"/>
      <c r="CJ3" s="409"/>
      <c r="CK3" s="409"/>
      <c r="CL3" s="409"/>
      <c r="CM3" s="409"/>
      <c r="CN3" s="409"/>
      <c r="CO3" s="409"/>
      <c r="CP3" s="409"/>
      <c r="CQ3" s="409"/>
      <c r="CR3" s="409"/>
      <c r="CS3" s="409"/>
      <c r="CT3" s="409"/>
      <c r="CU3" s="409"/>
      <c r="CV3" s="409"/>
      <c r="CW3" s="409"/>
      <c r="CX3" s="409"/>
      <c r="CY3" s="409"/>
      <c r="CZ3" s="409"/>
      <c r="DA3" s="409"/>
      <c r="DB3" s="409"/>
      <c r="DC3" s="409"/>
      <c r="DD3" s="409"/>
      <c r="DE3" s="409"/>
      <c r="DF3" s="409"/>
      <c r="DG3" s="409"/>
      <c r="DH3" s="409"/>
      <c r="DI3" s="409"/>
      <c r="DJ3" s="409"/>
      <c r="DK3" s="409"/>
      <c r="DL3" s="409"/>
      <c r="DM3" s="409"/>
      <c r="DN3" s="409"/>
      <c r="DO3" s="409"/>
      <c r="DP3" s="409"/>
      <c r="DQ3" s="409"/>
      <c r="DR3" s="409"/>
      <c r="DS3" s="409"/>
      <c r="DT3" s="409"/>
    </row>
    <row r="4" spans="1:124" s="407" customFormat="1" ht="15" x14ac:dyDescent="0.25">
      <c r="A4" s="309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311"/>
      <c r="S4" s="311"/>
      <c r="T4" s="311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408"/>
      <c r="AU4" s="408"/>
      <c r="AV4" s="408"/>
      <c r="AW4" s="408"/>
      <c r="AX4" s="408"/>
      <c r="AY4" s="408"/>
      <c r="AZ4" s="408"/>
      <c r="BA4" s="459" t="s">
        <v>116</v>
      </c>
      <c r="BB4" s="459"/>
      <c r="BC4" s="459"/>
      <c r="BD4" s="408"/>
      <c r="BE4" s="408"/>
      <c r="BF4" s="408"/>
      <c r="BG4" s="408"/>
      <c r="BH4" s="408"/>
      <c r="BI4" s="408"/>
      <c r="BJ4" s="408"/>
      <c r="BK4" s="408"/>
      <c r="BL4" s="408"/>
      <c r="BM4" s="360"/>
      <c r="BN4" s="360"/>
      <c r="BO4" s="360"/>
      <c r="BP4" s="360"/>
      <c r="BQ4" s="360"/>
      <c r="BR4" s="360"/>
      <c r="BS4" s="360"/>
      <c r="BT4" s="409"/>
      <c r="BU4" s="408"/>
      <c r="BV4" s="408"/>
      <c r="BW4" s="408"/>
      <c r="BX4" s="409"/>
      <c r="BY4" s="409"/>
      <c r="BZ4" s="409"/>
      <c r="CA4" s="409"/>
      <c r="CB4" s="409"/>
      <c r="CC4" s="409"/>
      <c r="CD4" s="409"/>
      <c r="CE4" s="409"/>
      <c r="CF4" s="409"/>
      <c r="CG4" s="409"/>
      <c r="CH4" s="409"/>
      <c r="CI4" s="409"/>
      <c r="CJ4" s="409"/>
      <c r="CK4" s="409"/>
      <c r="CL4" s="409"/>
      <c r="CM4" s="409"/>
      <c r="CN4" s="409"/>
      <c r="CO4" s="409"/>
      <c r="CP4" s="409"/>
      <c r="CQ4" s="409"/>
      <c r="CR4" s="409"/>
      <c r="CS4" s="409"/>
      <c r="CT4" s="409"/>
      <c r="CU4" s="409"/>
      <c r="CV4" s="409"/>
      <c r="CW4" s="409"/>
      <c r="CX4" s="409"/>
      <c r="CY4" s="409"/>
      <c r="CZ4" s="409"/>
      <c r="DA4" s="409"/>
      <c r="DB4" s="409"/>
      <c r="DC4" s="409"/>
      <c r="DD4" s="409"/>
      <c r="DE4" s="409"/>
      <c r="DF4" s="409"/>
      <c r="DG4" s="409"/>
      <c r="DH4" s="409"/>
      <c r="DI4" s="409"/>
      <c r="DJ4" s="409"/>
      <c r="DK4" s="409"/>
      <c r="DL4" s="409"/>
      <c r="DM4" s="409"/>
      <c r="DN4" s="409"/>
      <c r="DO4" s="409"/>
      <c r="DP4" s="409"/>
      <c r="DQ4" s="409"/>
      <c r="DR4" s="409"/>
      <c r="DS4" s="409"/>
      <c r="DT4" s="409"/>
    </row>
    <row r="5" spans="1:124" s="407" customFormat="1" ht="15.75" thickBot="1" x14ac:dyDescent="0.3">
      <c r="A5" s="309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134</v>
      </c>
      <c r="AJ5" s="464"/>
      <c r="AK5" s="464"/>
      <c r="AL5" s="323"/>
      <c r="AM5" s="464" t="s">
        <v>135</v>
      </c>
      <c r="AN5" s="464"/>
      <c r="AO5" s="464"/>
      <c r="AP5" s="323"/>
      <c r="AQ5" s="464" t="s">
        <v>114</v>
      </c>
      <c r="AR5" s="464"/>
      <c r="AS5" s="464"/>
      <c r="AT5" s="464"/>
      <c r="AU5" s="464"/>
      <c r="AV5" s="464"/>
      <c r="AW5" s="464"/>
      <c r="AX5" s="464"/>
      <c r="AY5" s="464"/>
      <c r="AZ5" s="321"/>
      <c r="BA5" s="463" t="s">
        <v>245</v>
      </c>
      <c r="BB5" s="463"/>
      <c r="BC5" s="463"/>
      <c r="BD5" s="321"/>
      <c r="BE5" s="457" t="s">
        <v>196</v>
      </c>
      <c r="BF5" s="457"/>
      <c r="BG5" s="457"/>
      <c r="BH5" s="321"/>
      <c r="BI5" s="457" t="s">
        <v>431</v>
      </c>
      <c r="BJ5" s="457"/>
      <c r="BK5" s="457"/>
      <c r="BL5" s="408"/>
      <c r="BM5" s="360"/>
      <c r="BN5" s="360"/>
      <c r="BO5" s="360"/>
      <c r="BP5" s="360"/>
      <c r="BQ5" s="360"/>
      <c r="BR5" s="360"/>
      <c r="BS5" s="360"/>
      <c r="BT5" s="409"/>
      <c r="BU5" s="408"/>
      <c r="BV5" s="408"/>
      <c r="BW5" s="408"/>
      <c r="BX5" s="409"/>
      <c r="BY5" s="409"/>
      <c r="BZ5" s="409"/>
      <c r="CA5" s="409"/>
      <c r="CB5" s="409"/>
      <c r="CC5" s="409"/>
      <c r="CD5" s="409"/>
      <c r="CE5" s="409"/>
      <c r="CF5" s="409"/>
      <c r="CG5" s="409"/>
      <c r="CH5" s="409"/>
      <c r="CI5" s="409"/>
      <c r="CJ5" s="409"/>
      <c r="CK5" s="409"/>
      <c r="CL5" s="409"/>
      <c r="CM5" s="409"/>
      <c r="CN5" s="409"/>
      <c r="CO5" s="409"/>
      <c r="CP5" s="409"/>
      <c r="CQ5" s="409"/>
      <c r="CR5" s="409"/>
      <c r="CS5" s="409"/>
      <c r="CT5" s="409"/>
      <c r="CU5" s="409"/>
      <c r="CV5" s="409"/>
      <c r="CW5" s="409"/>
      <c r="CX5" s="409"/>
      <c r="CY5" s="409"/>
      <c r="CZ5" s="409"/>
      <c r="DA5" s="409"/>
      <c r="DB5" s="409"/>
      <c r="DC5" s="409"/>
      <c r="DD5" s="409"/>
      <c r="DE5" s="409"/>
      <c r="DF5" s="409"/>
      <c r="DG5" s="409"/>
      <c r="DH5" s="409"/>
      <c r="DI5" s="409"/>
      <c r="DJ5" s="409"/>
      <c r="DK5" s="409"/>
      <c r="DL5" s="409"/>
      <c r="DM5" s="409"/>
      <c r="DN5" s="409"/>
      <c r="DO5" s="409"/>
      <c r="DP5" s="409"/>
      <c r="DQ5" s="409"/>
      <c r="DR5" s="409"/>
      <c r="DS5" s="409"/>
      <c r="DT5" s="409"/>
    </row>
    <row r="6" spans="1:124" ht="15" x14ac:dyDescent="0.25"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90"/>
      <c r="AI6" s="122" t="s">
        <v>107</v>
      </c>
      <c r="AJ6" s="104"/>
      <c r="AK6" s="105"/>
      <c r="AL6" s="290"/>
      <c r="AM6" s="122" t="s">
        <v>107</v>
      </c>
      <c r="AN6" s="104"/>
      <c r="AO6" s="105"/>
      <c r="AP6" s="290"/>
      <c r="AQ6" s="103"/>
      <c r="AR6" s="104"/>
      <c r="AS6" s="104"/>
      <c r="AT6" s="443"/>
      <c r="AU6" s="186"/>
      <c r="AV6" s="186"/>
      <c r="AW6" s="186"/>
      <c r="AX6" s="186"/>
      <c r="AY6" s="194"/>
      <c r="AZ6" s="291"/>
      <c r="BA6" s="193"/>
      <c r="BB6" s="186"/>
      <c r="BC6" s="194"/>
      <c r="BD6" s="291"/>
      <c r="BE6" s="172"/>
      <c r="BF6" s="173"/>
      <c r="BG6" s="174"/>
      <c r="BH6" s="291"/>
      <c r="BI6" s="172"/>
      <c r="BJ6" s="173"/>
      <c r="BK6" s="174"/>
      <c r="BL6" s="291"/>
      <c r="BM6" s="79"/>
      <c r="BN6" s="77"/>
      <c r="BO6" s="81"/>
      <c r="BP6" s="77"/>
      <c r="BQ6" s="81"/>
      <c r="BR6" s="77"/>
      <c r="BS6" s="81"/>
      <c r="BT6" s="77"/>
      <c r="BU6" s="82"/>
    </row>
    <row r="7" spans="1:124" ht="15" x14ac:dyDescent="0.25">
      <c r="A7" s="61" t="s">
        <v>91</v>
      </c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">
        <v>118</v>
      </c>
      <c r="AJ7" s="290"/>
      <c r="AK7" s="107" t="s">
        <v>415</v>
      </c>
      <c r="AL7" s="290"/>
      <c r="AM7" s="106" t="s">
        <v>118</v>
      </c>
      <c r="AN7" s="290"/>
      <c r="AO7" s="107" t="s">
        <v>417</v>
      </c>
      <c r="AP7" s="290"/>
      <c r="AQ7" s="106" t="s">
        <v>138</v>
      </c>
      <c r="AR7" s="290"/>
      <c r="AS7" s="95" t="s">
        <v>420</v>
      </c>
      <c r="AU7" s="291" t="s">
        <v>136</v>
      </c>
      <c r="AV7" s="291"/>
      <c r="AW7" s="291" t="s">
        <v>127</v>
      </c>
      <c r="AX7" s="291"/>
      <c r="AY7" s="187" t="s">
        <v>424</v>
      </c>
      <c r="AZ7" s="291"/>
      <c r="BA7" s="189" t="s">
        <v>425</v>
      </c>
      <c r="BB7" s="291"/>
      <c r="BC7" s="187" t="s">
        <v>427</v>
      </c>
      <c r="BD7" s="291"/>
      <c r="BE7" s="155"/>
      <c r="BF7" s="324"/>
      <c r="BG7" s="156"/>
      <c r="BH7" s="291"/>
      <c r="BI7" s="155"/>
      <c r="BJ7" s="324"/>
      <c r="BK7" s="156"/>
      <c r="BL7" s="291"/>
      <c r="BM7" s="78" t="s">
        <v>24</v>
      </c>
      <c r="BN7" s="76"/>
      <c r="BO7" s="83" t="s">
        <v>24</v>
      </c>
      <c r="BP7" s="76"/>
      <c r="BQ7" s="83" t="s">
        <v>24</v>
      </c>
      <c r="BR7" s="76"/>
      <c r="BS7" s="83" t="s">
        <v>24</v>
      </c>
      <c r="BT7" s="76"/>
      <c r="BU7" s="84" t="s">
        <v>24</v>
      </c>
    </row>
    <row r="8" spans="1:124" ht="12.75" customHeight="1" x14ac:dyDescent="0.2">
      <c r="A8" s="61" t="s">
        <v>92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">
        <v>119</v>
      </c>
      <c r="AJ8" s="290"/>
      <c r="AK8" s="107" t="s">
        <v>416</v>
      </c>
      <c r="AL8" s="290"/>
      <c r="AM8" s="106" t="s">
        <v>119</v>
      </c>
      <c r="AN8" s="290"/>
      <c r="AO8" s="107" t="s">
        <v>418</v>
      </c>
      <c r="AP8" s="290"/>
      <c r="AQ8" s="106" t="s">
        <v>419</v>
      </c>
      <c r="AR8" s="290"/>
      <c r="AS8" s="95" t="s">
        <v>421</v>
      </c>
      <c r="AU8" s="291" t="s">
        <v>422</v>
      </c>
      <c r="AV8" s="291"/>
      <c r="AW8" s="291" t="s">
        <v>423</v>
      </c>
      <c r="AX8" s="291"/>
      <c r="AY8" s="187" t="s">
        <v>330</v>
      </c>
      <c r="AZ8" s="291"/>
      <c r="BA8" s="189" t="s">
        <v>426</v>
      </c>
      <c r="BB8" s="291"/>
      <c r="BC8" s="187" t="s">
        <v>428</v>
      </c>
      <c r="BD8" s="291"/>
      <c r="BE8" s="315" t="s">
        <v>106</v>
      </c>
      <c r="BF8" s="143"/>
      <c r="BG8" s="316" t="s">
        <v>107</v>
      </c>
      <c r="BH8" s="291"/>
      <c r="BI8" s="315" t="s">
        <v>106</v>
      </c>
      <c r="BJ8" s="143"/>
      <c r="BK8" s="316" t="s">
        <v>107</v>
      </c>
      <c r="BL8" s="291"/>
      <c r="BM8" s="78" t="s">
        <v>83</v>
      </c>
      <c r="BN8" s="76"/>
      <c r="BO8" s="83" t="s">
        <v>84</v>
      </c>
      <c r="BP8" s="76"/>
      <c r="BQ8" s="83" t="s">
        <v>85</v>
      </c>
      <c r="BR8" s="76"/>
      <c r="BS8" s="83" t="s">
        <v>86</v>
      </c>
      <c r="BT8" s="76"/>
      <c r="BU8" s="84" t="s">
        <v>87</v>
      </c>
    </row>
    <row r="9" spans="1:124" ht="14.25" x14ac:dyDescent="0.2"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">
        <v>93</v>
      </c>
      <c r="AJ9" s="290"/>
      <c r="AK9" s="107" t="s">
        <v>99</v>
      </c>
      <c r="AL9" s="290"/>
      <c r="AM9" s="106" t="s">
        <v>93</v>
      </c>
      <c r="AN9" s="290"/>
      <c r="AO9" s="107" t="s">
        <v>99</v>
      </c>
      <c r="AP9" s="290"/>
      <c r="AQ9" s="106"/>
      <c r="AR9" s="290"/>
      <c r="AS9" s="95"/>
      <c r="AU9" s="291"/>
      <c r="AV9" s="291"/>
      <c r="AW9" s="291"/>
      <c r="AX9" s="291"/>
      <c r="AY9" s="187"/>
      <c r="AZ9" s="291"/>
      <c r="BA9" s="90" t="s">
        <v>429</v>
      </c>
      <c r="BB9" s="291"/>
      <c r="BC9" s="187"/>
      <c r="BD9" s="291"/>
      <c r="BE9" s="296"/>
      <c r="BF9" s="295"/>
      <c r="BG9" s="297"/>
      <c r="BH9" s="291"/>
      <c r="BI9" s="296"/>
      <c r="BJ9" s="295"/>
      <c r="BK9" s="297"/>
      <c r="BL9" s="291"/>
      <c r="BM9" s="78" t="s">
        <v>89</v>
      </c>
      <c r="BN9" s="76"/>
      <c r="BO9" s="83" t="s">
        <v>90</v>
      </c>
      <c r="BP9" s="76"/>
      <c r="BQ9" s="83" t="s">
        <v>89</v>
      </c>
      <c r="BR9" s="76"/>
      <c r="BS9" s="83" t="s">
        <v>89</v>
      </c>
      <c r="BT9" s="76"/>
      <c r="BU9" s="84" t="s">
        <v>89</v>
      </c>
    </row>
    <row r="10" spans="1:124" ht="15" thickBot="1" x14ac:dyDescent="0.25"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90"/>
      <c r="AI10" s="120"/>
      <c r="AJ10" s="289"/>
      <c r="AK10" s="121"/>
      <c r="AL10" s="290"/>
      <c r="AM10" s="120"/>
      <c r="AN10" s="289"/>
      <c r="AO10" s="121"/>
      <c r="AP10" s="290"/>
      <c r="AQ10" s="120"/>
      <c r="AR10" s="289"/>
      <c r="AS10" s="289"/>
      <c r="AT10" s="444"/>
      <c r="AU10" s="196"/>
      <c r="AV10" s="196"/>
      <c r="AW10" s="196"/>
      <c r="AX10" s="196"/>
      <c r="AY10" s="197"/>
      <c r="AZ10" s="291"/>
      <c r="BA10" s="195" t="s">
        <v>430</v>
      </c>
      <c r="BB10" s="196"/>
      <c r="BC10" s="197"/>
      <c r="BD10" s="291"/>
      <c r="BE10" s="146"/>
      <c r="BF10" s="144"/>
      <c r="BG10" s="145"/>
      <c r="BH10" s="291"/>
      <c r="BI10" s="146"/>
      <c r="BJ10" s="144"/>
      <c r="BK10" s="145"/>
      <c r="BL10" s="291"/>
      <c r="BM10" s="80"/>
      <c r="BN10" s="85"/>
      <c r="BO10" s="85"/>
      <c r="BP10" s="85"/>
      <c r="BQ10" s="85"/>
      <c r="BR10" s="85"/>
      <c r="BS10" s="85"/>
      <c r="BT10" s="85"/>
      <c r="BU10" s="86"/>
    </row>
    <row r="11" spans="1:124" x14ac:dyDescent="0.2">
      <c r="A11" s="9" t="s">
        <v>27</v>
      </c>
      <c r="C11" s="18">
        <f>51+50</f>
        <v>101</v>
      </c>
      <c r="D11" s="19"/>
      <c r="E11" s="18">
        <f>216+189</f>
        <v>405</v>
      </c>
      <c r="F11" s="19"/>
      <c r="G11" s="18">
        <f>10+8</f>
        <v>18</v>
      </c>
      <c r="H11" s="19"/>
      <c r="I11" s="18">
        <v>2</v>
      </c>
      <c r="J11" s="19"/>
      <c r="K11" s="18">
        <f>2+1</f>
        <v>3</v>
      </c>
      <c r="L11" s="19"/>
      <c r="M11" s="18">
        <v>2</v>
      </c>
      <c r="N11" s="19"/>
      <c r="O11" s="18">
        <v>1</v>
      </c>
      <c r="P11" s="19"/>
      <c r="Q11" s="18">
        <v>0</v>
      </c>
      <c r="R11" s="19"/>
      <c r="S11" s="18">
        <f>46+40</f>
        <v>86</v>
      </c>
      <c r="T11" s="19"/>
      <c r="U11" s="18">
        <f>228+200</f>
        <v>428</v>
      </c>
      <c r="V11" s="35"/>
      <c r="W11" s="18">
        <f>4+3</f>
        <v>7</v>
      </c>
      <c r="X11" s="19"/>
      <c r="Y11" s="18">
        <f>1+1</f>
        <v>2</v>
      </c>
      <c r="Z11" s="19"/>
      <c r="AA11" s="18">
        <f>2+3</f>
        <v>5</v>
      </c>
      <c r="AB11" s="19"/>
      <c r="AC11" s="18">
        <f>1+1</f>
        <v>2</v>
      </c>
      <c r="AD11" s="19"/>
      <c r="AE11" s="18">
        <f>56+48</f>
        <v>104</v>
      </c>
      <c r="AF11" s="19"/>
      <c r="AG11" s="18">
        <f>216+195</f>
        <v>411</v>
      </c>
      <c r="AH11" s="19"/>
      <c r="AI11" s="18"/>
      <c r="AJ11" s="19"/>
      <c r="AK11" s="18">
        <f>238+218</f>
        <v>456</v>
      </c>
      <c r="AL11" s="19"/>
      <c r="AM11" s="62" t="s">
        <v>108</v>
      </c>
      <c r="AN11" s="19"/>
      <c r="AO11" s="62" t="s">
        <v>108</v>
      </c>
      <c r="AP11" s="19"/>
      <c r="AQ11" s="18">
        <f>129+109</f>
        <v>238</v>
      </c>
      <c r="AR11" s="19"/>
      <c r="AS11" s="18">
        <f>109+84</f>
        <v>193</v>
      </c>
      <c r="AT11" s="19"/>
      <c r="AU11" s="18">
        <f>116+89</f>
        <v>205</v>
      </c>
      <c r="AV11" s="19"/>
      <c r="AW11" s="18">
        <f>51+47</f>
        <v>98</v>
      </c>
      <c r="AX11" s="19"/>
      <c r="AY11" s="18">
        <f>49+38</f>
        <v>87</v>
      </c>
      <c r="AZ11" s="19"/>
      <c r="BA11" s="18">
        <f>130+109</f>
        <v>239</v>
      </c>
      <c r="BB11" s="19"/>
      <c r="BC11" s="18">
        <f>54+39</f>
        <v>93</v>
      </c>
      <c r="BD11" s="19"/>
      <c r="BE11" s="18">
        <f>152+130</f>
        <v>282</v>
      </c>
      <c r="BF11" s="19"/>
      <c r="BG11" s="18">
        <f>61+46</f>
        <v>107</v>
      </c>
      <c r="BH11" s="19"/>
      <c r="BI11" s="18">
        <f>146+118</f>
        <v>264</v>
      </c>
      <c r="BJ11" s="19"/>
      <c r="BK11" s="18">
        <f>64+55</f>
        <v>119</v>
      </c>
      <c r="BL11" s="19"/>
      <c r="BM11" s="18">
        <f>295+262</f>
        <v>557</v>
      </c>
      <c r="BN11" s="19"/>
      <c r="BO11" s="18">
        <v>399</v>
      </c>
      <c r="BP11" s="19"/>
      <c r="BQ11" s="18">
        <v>51</v>
      </c>
      <c r="BR11" s="19"/>
      <c r="BS11" s="18"/>
      <c r="BU11" s="18">
        <f t="shared" ref="BU11:BU18" si="0">+SUM(BM11:BS11)</f>
        <v>1007</v>
      </c>
      <c r="BV11" s="19"/>
      <c r="BW11" s="19"/>
      <c r="DQ11" s="11"/>
      <c r="DR11" s="11"/>
      <c r="DS11" s="11"/>
      <c r="DT11" s="11"/>
    </row>
    <row r="12" spans="1:124" x14ac:dyDescent="0.2">
      <c r="A12" s="9" t="s">
        <v>28</v>
      </c>
      <c r="C12" s="16">
        <f>21+18</f>
        <v>39</v>
      </c>
      <c r="D12" s="19"/>
      <c r="E12" s="16">
        <f>137+155</f>
        <v>292</v>
      </c>
      <c r="F12" s="19"/>
      <c r="G12" s="16">
        <f>12+10</f>
        <v>22</v>
      </c>
      <c r="H12" s="19"/>
      <c r="I12" s="16">
        <f>1+2</f>
        <v>3</v>
      </c>
      <c r="J12" s="19"/>
      <c r="K12" s="16">
        <f>2+1</f>
        <v>3</v>
      </c>
      <c r="L12" s="19"/>
      <c r="M12" s="16">
        <f>2+1</f>
        <v>3</v>
      </c>
      <c r="N12" s="19"/>
      <c r="O12" s="16">
        <v>0</v>
      </c>
      <c r="P12" s="19"/>
      <c r="Q12" s="16">
        <f>2+1</f>
        <v>3</v>
      </c>
      <c r="R12" s="19"/>
      <c r="S12" s="16">
        <f>18+20</f>
        <v>38</v>
      </c>
      <c r="T12" s="19"/>
      <c r="U12" s="16">
        <f>150+159</f>
        <v>309</v>
      </c>
      <c r="V12" s="19"/>
      <c r="W12" s="16">
        <f>3+1</f>
        <v>4</v>
      </c>
      <c r="X12" s="19"/>
      <c r="Y12" s="16">
        <f>2+2</f>
        <v>4</v>
      </c>
      <c r="Z12" s="19"/>
      <c r="AA12" s="16">
        <v>1</v>
      </c>
      <c r="AB12" s="19"/>
      <c r="AC12" s="16">
        <f>4+2</f>
        <v>6</v>
      </c>
      <c r="AD12" s="19"/>
      <c r="AE12" s="16">
        <f>25+27</f>
        <v>52</v>
      </c>
      <c r="AF12" s="19"/>
      <c r="AG12" s="16">
        <f>149+152</f>
        <v>301</v>
      </c>
      <c r="AH12" s="19"/>
      <c r="AI12" s="16"/>
      <c r="AJ12" s="19"/>
      <c r="AK12" s="16">
        <f>153+169</f>
        <v>322</v>
      </c>
      <c r="AL12" s="19"/>
      <c r="AM12" s="16"/>
      <c r="AN12" s="19"/>
      <c r="AO12" s="16"/>
      <c r="AP12" s="19"/>
      <c r="AQ12" s="16">
        <f>72+88</f>
        <v>160</v>
      </c>
      <c r="AR12" s="19"/>
      <c r="AS12" s="16">
        <f>62+64</f>
        <v>126</v>
      </c>
      <c r="AT12" s="19"/>
      <c r="AU12" s="16">
        <f>69+71</f>
        <v>140</v>
      </c>
      <c r="AV12" s="19"/>
      <c r="AW12" s="16">
        <f>30+33</f>
        <v>63</v>
      </c>
      <c r="AX12" s="19"/>
      <c r="AY12" s="16">
        <f>22+15</f>
        <v>37</v>
      </c>
      <c r="AZ12" s="19"/>
      <c r="BA12" s="16">
        <f>81+87</f>
        <v>168</v>
      </c>
      <c r="BB12" s="19"/>
      <c r="BC12" s="16">
        <f>28+32</f>
        <v>60</v>
      </c>
      <c r="BD12" s="19"/>
      <c r="BE12" s="16">
        <f>92+96</f>
        <v>188</v>
      </c>
      <c r="BF12" s="19"/>
      <c r="BG12" s="16">
        <f>25+32</f>
        <v>57</v>
      </c>
      <c r="BH12" s="19"/>
      <c r="BI12" s="16">
        <f>83+87</f>
        <v>170</v>
      </c>
      <c r="BJ12" s="19"/>
      <c r="BK12" s="16">
        <f>33+37</f>
        <v>70</v>
      </c>
      <c r="BL12" s="19"/>
      <c r="BM12" s="16">
        <f>185+196</f>
        <v>381</v>
      </c>
      <c r="BN12" s="19"/>
      <c r="BO12" s="16"/>
      <c r="BP12" s="19"/>
      <c r="BQ12" s="16"/>
      <c r="BR12" s="19"/>
      <c r="BS12" s="16"/>
      <c r="BU12" s="18">
        <f t="shared" si="0"/>
        <v>381</v>
      </c>
      <c r="BV12" s="19"/>
      <c r="BW12" s="19"/>
      <c r="DQ12" s="11"/>
      <c r="DR12" s="11"/>
      <c r="DS12" s="11"/>
      <c r="DT12" s="11"/>
    </row>
    <row r="13" spans="1:124" x14ac:dyDescent="0.2">
      <c r="A13" s="9" t="s">
        <v>29</v>
      </c>
      <c r="C13" s="16">
        <f>40+28</f>
        <v>68</v>
      </c>
      <c r="D13" s="19"/>
      <c r="E13" s="16">
        <f>164+173</f>
        <v>337</v>
      </c>
      <c r="F13" s="19"/>
      <c r="G13" s="16">
        <f>6+9</f>
        <v>15</v>
      </c>
      <c r="H13" s="19"/>
      <c r="I13" s="16">
        <f>1+1</f>
        <v>2</v>
      </c>
      <c r="J13" s="19"/>
      <c r="K13" s="16">
        <f>1+1</f>
        <v>2</v>
      </c>
      <c r="L13" s="19"/>
      <c r="M13" s="16">
        <v>0</v>
      </c>
      <c r="N13" s="19"/>
      <c r="O13" s="16">
        <v>1</v>
      </c>
      <c r="P13" s="19"/>
      <c r="Q13" s="16">
        <v>0</v>
      </c>
      <c r="R13" s="19"/>
      <c r="S13" s="16">
        <f>33+22</f>
        <v>55</v>
      </c>
      <c r="T13" s="19"/>
      <c r="U13" s="16">
        <f>160+180</f>
        <v>340</v>
      </c>
      <c r="V13" s="19"/>
      <c r="W13" s="16">
        <f>9+5</f>
        <v>14</v>
      </c>
      <c r="X13" s="19"/>
      <c r="Y13" s="16">
        <v>2</v>
      </c>
      <c r="Z13" s="19"/>
      <c r="AA13" s="16">
        <v>1</v>
      </c>
      <c r="AB13" s="19"/>
      <c r="AC13" s="16">
        <v>2</v>
      </c>
      <c r="AD13" s="19"/>
      <c r="AE13" s="16">
        <f>36+31</f>
        <v>67</v>
      </c>
      <c r="AF13" s="19"/>
      <c r="AG13" s="16">
        <f>164+171</f>
        <v>335</v>
      </c>
      <c r="AH13" s="19"/>
      <c r="AI13" s="16"/>
      <c r="AJ13" s="19"/>
      <c r="AK13" s="16">
        <f>168+183</f>
        <v>351</v>
      </c>
      <c r="AL13" s="19"/>
      <c r="AM13" s="16"/>
      <c r="AN13" s="19"/>
      <c r="AO13" s="16"/>
      <c r="AP13" s="19"/>
      <c r="AQ13" s="16">
        <f>130+120</f>
        <v>250</v>
      </c>
      <c r="AR13" s="19"/>
      <c r="AS13" s="16">
        <f>55+52</f>
        <v>107</v>
      </c>
      <c r="AT13" s="19"/>
      <c r="AU13" s="16">
        <f>108+98</f>
        <v>206</v>
      </c>
      <c r="AV13" s="19"/>
      <c r="AW13" s="16">
        <f>20+33</f>
        <v>53</v>
      </c>
      <c r="AX13" s="19"/>
      <c r="AY13" s="16">
        <f>22+24</f>
        <v>46</v>
      </c>
      <c r="AZ13" s="19"/>
      <c r="BA13" s="16">
        <f>125+126</f>
        <v>251</v>
      </c>
      <c r="BB13" s="19"/>
      <c r="BC13" s="16">
        <f>25+24</f>
        <v>49</v>
      </c>
      <c r="BD13" s="19"/>
      <c r="BE13" s="16">
        <f>103+95</f>
        <v>198</v>
      </c>
      <c r="BF13" s="19"/>
      <c r="BG13" s="16">
        <f>31+29</f>
        <v>60</v>
      </c>
      <c r="BH13" s="19"/>
      <c r="BI13" s="16">
        <f>93+93</f>
        <v>186</v>
      </c>
      <c r="BJ13" s="19"/>
      <c r="BK13" s="16">
        <f>37+28</f>
        <v>65</v>
      </c>
      <c r="BL13" s="19"/>
      <c r="BM13" s="16">
        <f>226+223</f>
        <v>449</v>
      </c>
      <c r="BN13" s="19"/>
      <c r="BO13" s="16"/>
      <c r="BP13" s="19"/>
      <c r="BQ13" s="16"/>
      <c r="BR13" s="19"/>
      <c r="BS13" s="16"/>
      <c r="BU13" s="18">
        <f t="shared" si="0"/>
        <v>449</v>
      </c>
      <c r="BV13" s="19"/>
      <c r="BW13" s="19"/>
      <c r="DQ13" s="11"/>
      <c r="DR13" s="11"/>
      <c r="DS13" s="11"/>
      <c r="DT13" s="11"/>
    </row>
    <row r="14" spans="1:124" x14ac:dyDescent="0.2">
      <c r="A14" s="9" t="s">
        <v>33</v>
      </c>
      <c r="C14" s="16">
        <f>18+23</f>
        <v>41</v>
      </c>
      <c r="D14" s="35"/>
      <c r="E14" s="16">
        <f>185+207</f>
        <v>392</v>
      </c>
      <c r="F14" s="19"/>
      <c r="G14" s="16">
        <f>9+4</f>
        <v>13</v>
      </c>
      <c r="H14" s="19"/>
      <c r="I14" s="16">
        <f>2+2</f>
        <v>4</v>
      </c>
      <c r="J14" s="19"/>
      <c r="K14" s="16">
        <v>2</v>
      </c>
      <c r="L14" s="19"/>
      <c r="M14" s="16">
        <v>1</v>
      </c>
      <c r="N14" s="19"/>
      <c r="O14" s="16">
        <v>0</v>
      </c>
      <c r="P14" s="19"/>
      <c r="Q14" s="16">
        <v>0</v>
      </c>
      <c r="R14" s="19"/>
      <c r="S14" s="16">
        <f>14+19</f>
        <v>33</v>
      </c>
      <c r="T14" s="19"/>
      <c r="U14" s="16">
        <f>194+213</f>
        <v>407</v>
      </c>
      <c r="V14" s="19"/>
      <c r="W14" s="16">
        <f>3+1</f>
        <v>4</v>
      </c>
      <c r="X14" s="19"/>
      <c r="Y14" s="16">
        <f>2+3</f>
        <v>5</v>
      </c>
      <c r="Z14" s="19"/>
      <c r="AA14" s="16">
        <v>2</v>
      </c>
      <c r="AB14" s="19"/>
      <c r="AC14" s="16">
        <f>2+1</f>
        <v>3</v>
      </c>
      <c r="AD14" s="19"/>
      <c r="AE14" s="16">
        <f>21+27</f>
        <v>48</v>
      </c>
      <c r="AF14" s="19"/>
      <c r="AG14" s="16">
        <f>186+203</f>
        <v>389</v>
      </c>
      <c r="AH14" s="19"/>
      <c r="AI14" s="16"/>
      <c r="AJ14" s="19"/>
      <c r="AK14" s="16">
        <f>202+214</f>
        <v>416</v>
      </c>
      <c r="AL14" s="19"/>
      <c r="AM14" s="16"/>
      <c r="AN14" s="19"/>
      <c r="AO14" s="16"/>
      <c r="AP14" s="19"/>
      <c r="AQ14" s="16">
        <f>94+102</f>
        <v>196</v>
      </c>
      <c r="AR14" s="19"/>
      <c r="AS14" s="16">
        <f>72+85</f>
        <v>157</v>
      </c>
      <c r="AT14" s="19"/>
      <c r="AU14" s="16">
        <f>92+94</f>
        <v>186</v>
      </c>
      <c r="AV14" s="19"/>
      <c r="AW14" s="16">
        <f>53+47</f>
        <v>100</v>
      </c>
      <c r="AX14" s="19"/>
      <c r="AY14" s="16">
        <f>30+37</f>
        <v>67</v>
      </c>
      <c r="AZ14" s="19"/>
      <c r="BA14" s="16">
        <f>112+111</f>
        <v>223</v>
      </c>
      <c r="BB14" s="19"/>
      <c r="BC14" s="16">
        <f>31+36</f>
        <v>67</v>
      </c>
      <c r="BD14" s="19"/>
      <c r="BE14" s="16">
        <f>82+111</f>
        <v>193</v>
      </c>
      <c r="BF14" s="19"/>
      <c r="BG14" s="16">
        <f>31+32</f>
        <v>63</v>
      </c>
      <c r="BH14" s="19"/>
      <c r="BI14" s="16">
        <f>77+98</f>
        <v>175</v>
      </c>
      <c r="BJ14" s="19"/>
      <c r="BK14" s="16">
        <f>40+41</f>
        <v>81</v>
      </c>
      <c r="BL14" s="19"/>
      <c r="BM14" s="16">
        <f>227+250</f>
        <v>477</v>
      </c>
      <c r="BN14" s="19"/>
      <c r="BO14" s="16"/>
      <c r="BP14" s="19"/>
      <c r="BQ14" s="16"/>
      <c r="BR14" s="19"/>
      <c r="BS14" s="16"/>
      <c r="BU14" s="18">
        <f t="shared" si="0"/>
        <v>477</v>
      </c>
      <c r="BV14" s="19"/>
      <c r="BW14" s="19"/>
      <c r="DQ14" s="11"/>
      <c r="DR14" s="11"/>
      <c r="DS14" s="11"/>
      <c r="DT14" s="11"/>
    </row>
    <row r="15" spans="1:124" x14ac:dyDescent="0.2">
      <c r="A15" s="9" t="s">
        <v>30</v>
      </c>
      <c r="C15" s="16">
        <f>19+15</f>
        <v>34</v>
      </c>
      <c r="D15" s="19"/>
      <c r="E15" s="16">
        <f>168+131</f>
        <v>299</v>
      </c>
      <c r="F15" s="19"/>
      <c r="G15" s="16">
        <f>6+5</f>
        <v>11</v>
      </c>
      <c r="H15" s="19"/>
      <c r="I15" s="16">
        <f>4+3</f>
        <v>7</v>
      </c>
      <c r="J15" s="19"/>
      <c r="K15" s="16">
        <v>1</v>
      </c>
      <c r="L15" s="19"/>
      <c r="M15" s="16">
        <v>0</v>
      </c>
      <c r="N15" s="19"/>
      <c r="O15" s="16">
        <v>1</v>
      </c>
      <c r="P15" s="19"/>
      <c r="Q15" s="16">
        <v>0</v>
      </c>
      <c r="R15" s="19"/>
      <c r="S15" s="16">
        <f>12+12</f>
        <v>24</v>
      </c>
      <c r="T15" s="19"/>
      <c r="U15" s="16">
        <f>162+135</f>
        <v>297</v>
      </c>
      <c r="V15" s="19"/>
      <c r="W15" s="16">
        <f>2+1</f>
        <v>3</v>
      </c>
      <c r="X15" s="19"/>
      <c r="Y15" s="16">
        <f>2+2</f>
        <v>4</v>
      </c>
      <c r="Z15" s="19"/>
      <c r="AA15" s="16">
        <v>2</v>
      </c>
      <c r="AB15" s="19"/>
      <c r="AC15" s="16">
        <f>5+1</f>
        <v>6</v>
      </c>
      <c r="AD15" s="19"/>
      <c r="AE15" s="16">
        <f>14+18</f>
        <v>32</v>
      </c>
      <c r="AF15" s="19"/>
      <c r="AG15" s="16">
        <f>164+133</f>
        <v>297</v>
      </c>
      <c r="AH15" s="19"/>
      <c r="AI15" s="16"/>
      <c r="AJ15" s="19"/>
      <c r="AK15" s="16"/>
      <c r="AL15" s="19"/>
      <c r="AM15" s="16"/>
      <c r="AN15" s="19"/>
      <c r="AO15" s="16">
        <f>164+135</f>
        <v>299</v>
      </c>
      <c r="AP15" s="19"/>
      <c r="AQ15" s="16">
        <f>89+72</f>
        <v>161</v>
      </c>
      <c r="AR15" s="19"/>
      <c r="AS15" s="16">
        <f>79+47</f>
        <v>126</v>
      </c>
      <c r="AT15" s="19"/>
      <c r="AU15" s="16">
        <f>84+65</f>
        <v>149</v>
      </c>
      <c r="AV15" s="19"/>
      <c r="AW15" s="16">
        <f>33+25</f>
        <v>58</v>
      </c>
      <c r="AX15" s="19"/>
      <c r="AY15" s="16">
        <f>22+20</f>
        <v>42</v>
      </c>
      <c r="AZ15" s="19"/>
      <c r="BA15" s="16">
        <f>93+79</f>
        <v>172</v>
      </c>
      <c r="BB15" s="19"/>
      <c r="BC15" s="16">
        <f>28+20</f>
        <v>48</v>
      </c>
      <c r="BD15" s="19"/>
      <c r="BE15" s="16">
        <f>89+78</f>
        <v>167</v>
      </c>
      <c r="BF15" s="19"/>
      <c r="BG15" s="16">
        <f>15+13</f>
        <v>28</v>
      </c>
      <c r="BH15" s="19"/>
      <c r="BI15" s="16">
        <f>80+71</f>
        <v>151</v>
      </c>
      <c r="BJ15" s="19"/>
      <c r="BK15" s="16">
        <f>28+22</f>
        <v>50</v>
      </c>
      <c r="BL15" s="19"/>
      <c r="BM15" s="16">
        <f>204+163</f>
        <v>367</v>
      </c>
      <c r="BN15" s="19"/>
      <c r="BO15" s="16">
        <v>470</v>
      </c>
      <c r="BP15" s="19"/>
      <c r="BQ15" s="16">
        <v>83</v>
      </c>
      <c r="BR15" s="19"/>
      <c r="BS15" s="16"/>
      <c r="BU15" s="18">
        <f t="shared" si="0"/>
        <v>920</v>
      </c>
      <c r="BV15" s="19"/>
      <c r="BW15" s="19"/>
      <c r="DQ15" s="11"/>
      <c r="DR15" s="11"/>
      <c r="DS15" s="11"/>
      <c r="DT15" s="11"/>
    </row>
    <row r="16" spans="1:124" s="10" customFormat="1" x14ac:dyDescent="0.2">
      <c r="A16" s="9" t="s">
        <v>31</v>
      </c>
      <c r="C16" s="16">
        <f>23+29</f>
        <v>52</v>
      </c>
      <c r="D16" s="19"/>
      <c r="E16" s="16">
        <f>170+163</f>
        <v>333</v>
      </c>
      <c r="F16" s="19"/>
      <c r="G16" s="16">
        <f>8+5</f>
        <v>13</v>
      </c>
      <c r="H16" s="19"/>
      <c r="I16" s="16">
        <f>1+4</f>
        <v>5</v>
      </c>
      <c r="J16" s="19"/>
      <c r="K16" s="16">
        <v>0</v>
      </c>
      <c r="L16" s="19"/>
      <c r="M16" s="16">
        <v>0</v>
      </c>
      <c r="N16" s="19"/>
      <c r="O16" s="16">
        <v>1</v>
      </c>
      <c r="P16" s="19"/>
      <c r="Q16" s="16">
        <v>1</v>
      </c>
      <c r="R16" s="19"/>
      <c r="S16" s="16">
        <f>20+23</f>
        <v>43</v>
      </c>
      <c r="T16" s="19"/>
      <c r="U16" s="16">
        <f>176+158</f>
        <v>334</v>
      </c>
      <c r="V16" s="19"/>
      <c r="W16" s="16">
        <f>2+2</f>
        <v>4</v>
      </c>
      <c r="X16" s="19"/>
      <c r="Y16" s="16">
        <f>2+1</f>
        <v>3</v>
      </c>
      <c r="Z16" s="19"/>
      <c r="AA16" s="16">
        <v>1</v>
      </c>
      <c r="AB16" s="19"/>
      <c r="AC16" s="16">
        <f>4+4</f>
        <v>8</v>
      </c>
      <c r="AD16" s="19"/>
      <c r="AE16" s="16">
        <f>26+26</f>
        <v>52</v>
      </c>
      <c r="AF16" s="19"/>
      <c r="AG16" s="16">
        <f>170+164</f>
        <v>334</v>
      </c>
      <c r="AH16" s="19"/>
      <c r="AI16" s="16"/>
      <c r="AJ16" s="19"/>
      <c r="AK16" s="16"/>
      <c r="AL16" s="19"/>
      <c r="AM16" s="16"/>
      <c r="AN16" s="19"/>
      <c r="AO16" s="16">
        <f>172+161</f>
        <v>333</v>
      </c>
      <c r="AP16" s="19"/>
      <c r="AQ16" s="16">
        <f>107+102</f>
        <v>209</v>
      </c>
      <c r="AR16" s="19"/>
      <c r="AS16" s="16">
        <f>71+62</f>
        <v>133</v>
      </c>
      <c r="AT16" s="19"/>
      <c r="AU16" s="16">
        <f>96+91</f>
        <v>187</v>
      </c>
      <c r="AV16" s="19"/>
      <c r="AW16" s="16">
        <f>42+42</f>
        <v>84</v>
      </c>
      <c r="AX16" s="19"/>
      <c r="AY16" s="16">
        <f>28+23</f>
        <v>51</v>
      </c>
      <c r="AZ16" s="19"/>
      <c r="BA16" s="60">
        <f>105+100</f>
        <v>205</v>
      </c>
      <c r="BB16" s="19"/>
      <c r="BC16" s="16">
        <f>30+30</f>
        <v>60</v>
      </c>
      <c r="BD16" s="19"/>
      <c r="BE16" s="16">
        <f>86+78</f>
        <v>164</v>
      </c>
      <c r="BF16" s="19"/>
      <c r="BG16" s="16">
        <f>23+28</f>
        <v>51</v>
      </c>
      <c r="BH16" s="19"/>
      <c r="BI16" s="16">
        <f>84+73</f>
        <v>157</v>
      </c>
      <c r="BJ16" s="19"/>
      <c r="BK16" s="16">
        <f>29+38</f>
        <v>67</v>
      </c>
      <c r="BL16" s="19"/>
      <c r="BM16" s="16">
        <f>213+206</f>
        <v>419</v>
      </c>
      <c r="BN16" s="20"/>
      <c r="BO16" s="16"/>
      <c r="BP16" s="20"/>
      <c r="BQ16" s="16"/>
      <c r="BR16" s="20"/>
      <c r="BS16" s="16"/>
      <c r="BT16" s="20"/>
      <c r="BU16" s="18">
        <f t="shared" si="0"/>
        <v>419</v>
      </c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</row>
    <row r="17" spans="1:124" x14ac:dyDescent="0.2">
      <c r="A17" s="9" t="s">
        <v>32</v>
      </c>
      <c r="C17" s="16">
        <f>24+20</f>
        <v>44</v>
      </c>
      <c r="D17" s="19"/>
      <c r="E17" s="16">
        <f>232+208</f>
        <v>440</v>
      </c>
      <c r="F17" s="19"/>
      <c r="G17" s="16">
        <f>7+12</f>
        <v>19</v>
      </c>
      <c r="H17" s="19"/>
      <c r="I17" s="16">
        <f>2+2</f>
        <v>4</v>
      </c>
      <c r="J17" s="19"/>
      <c r="K17" s="16">
        <f>1+1</f>
        <v>2</v>
      </c>
      <c r="L17" s="19"/>
      <c r="M17" s="16">
        <v>0</v>
      </c>
      <c r="N17" s="19"/>
      <c r="O17" s="16">
        <v>0</v>
      </c>
      <c r="P17" s="19"/>
      <c r="Q17" s="16">
        <f>1+1</f>
        <v>2</v>
      </c>
      <c r="R17" s="19"/>
      <c r="S17" s="16">
        <f>18+14</f>
        <v>32</v>
      </c>
      <c r="T17" s="19"/>
      <c r="U17" s="16">
        <f>239+216</f>
        <v>455</v>
      </c>
      <c r="V17" s="19"/>
      <c r="W17" s="16">
        <f>1+2</f>
        <v>3</v>
      </c>
      <c r="X17" s="19"/>
      <c r="Y17" s="16">
        <f>3+3</f>
        <v>6</v>
      </c>
      <c r="Z17" s="19"/>
      <c r="AA17" s="16">
        <v>2</v>
      </c>
      <c r="AB17" s="19"/>
      <c r="AC17" s="16">
        <f>2+3</f>
        <v>5</v>
      </c>
      <c r="AD17" s="19"/>
      <c r="AE17" s="16">
        <f>26+22</f>
        <v>48</v>
      </c>
      <c r="AF17" s="19"/>
      <c r="AG17" s="16">
        <f>226+210</f>
        <v>436</v>
      </c>
      <c r="AH17" s="19"/>
      <c r="AI17" s="16"/>
      <c r="AJ17" s="19"/>
      <c r="AK17" s="16"/>
      <c r="AL17" s="19"/>
      <c r="AM17" s="16"/>
      <c r="AN17" s="19"/>
      <c r="AO17" s="16">
        <f>228+215</f>
        <v>443</v>
      </c>
      <c r="AP17" s="19"/>
      <c r="AQ17" s="16">
        <f>140+120</f>
        <v>260</v>
      </c>
      <c r="AR17" s="19"/>
      <c r="AS17" s="16">
        <f>101+97</f>
        <v>198</v>
      </c>
      <c r="AT17" s="19"/>
      <c r="AU17" s="16">
        <f>122+105</f>
        <v>227</v>
      </c>
      <c r="AV17" s="19"/>
      <c r="AW17" s="16">
        <f>87+61</f>
        <v>148</v>
      </c>
      <c r="AX17" s="19"/>
      <c r="AY17" s="16">
        <f>54+40</f>
        <v>94</v>
      </c>
      <c r="AZ17" s="19"/>
      <c r="BA17" s="16">
        <f>140+123</f>
        <v>263</v>
      </c>
      <c r="BB17" s="19"/>
      <c r="BC17" s="16">
        <f>60+46</f>
        <v>106</v>
      </c>
      <c r="BD17" s="19"/>
      <c r="BE17" s="16">
        <f>147+125</f>
        <v>272</v>
      </c>
      <c r="BF17" s="19"/>
      <c r="BG17" s="16">
        <f>45+43</f>
        <v>88</v>
      </c>
      <c r="BH17" s="19"/>
      <c r="BI17" s="16">
        <f>130+112</f>
        <v>242</v>
      </c>
      <c r="BJ17" s="19"/>
      <c r="BK17" s="16">
        <f>56+54</f>
        <v>110</v>
      </c>
      <c r="BL17" s="19"/>
      <c r="BM17" s="16">
        <f>275+257</f>
        <v>532</v>
      </c>
      <c r="BN17" s="19"/>
      <c r="BO17" s="16"/>
      <c r="BP17" s="19"/>
      <c r="BQ17" s="16"/>
      <c r="BR17" s="19"/>
      <c r="BS17" s="16"/>
      <c r="BU17" s="18">
        <f t="shared" si="0"/>
        <v>532</v>
      </c>
      <c r="BV17" s="19"/>
      <c r="BW17" s="19"/>
      <c r="DQ17" s="11"/>
      <c r="DR17" s="11"/>
      <c r="DS17" s="11"/>
      <c r="DT17" s="11"/>
    </row>
    <row r="18" spans="1:124" x14ac:dyDescent="0.2">
      <c r="A18" s="9" t="s">
        <v>34</v>
      </c>
      <c r="C18" s="16">
        <f>29+36</f>
        <v>65</v>
      </c>
      <c r="D18" s="19"/>
      <c r="E18" s="16">
        <f>210+190</f>
        <v>400</v>
      </c>
      <c r="F18" s="19"/>
      <c r="G18" s="16">
        <f>4+5</f>
        <v>9</v>
      </c>
      <c r="H18" s="19"/>
      <c r="I18" s="16">
        <f>2+2</f>
        <v>4</v>
      </c>
      <c r="J18" s="19"/>
      <c r="K18" s="16">
        <v>1</v>
      </c>
      <c r="L18" s="19"/>
      <c r="M18" s="16">
        <v>0</v>
      </c>
      <c r="N18" s="19"/>
      <c r="O18" s="16">
        <v>2</v>
      </c>
      <c r="P18" s="19"/>
      <c r="Q18" s="16">
        <f>1+2</f>
        <v>3</v>
      </c>
      <c r="R18" s="19"/>
      <c r="S18" s="16">
        <f>22+32</f>
        <v>54</v>
      </c>
      <c r="T18" s="19"/>
      <c r="U18" s="16">
        <f>213+204</f>
        <v>417</v>
      </c>
      <c r="V18" s="19"/>
      <c r="W18" s="16">
        <f>2+2</f>
        <v>4</v>
      </c>
      <c r="X18" s="19"/>
      <c r="Y18" s="16">
        <f>2+2</f>
        <v>4</v>
      </c>
      <c r="Z18" s="19"/>
      <c r="AA18" s="16">
        <v>1</v>
      </c>
      <c r="AB18" s="19"/>
      <c r="AC18" s="16">
        <f>2+3</f>
        <v>5</v>
      </c>
      <c r="AD18" s="19"/>
      <c r="AE18" s="16">
        <f>29+35</f>
        <v>64</v>
      </c>
      <c r="AF18" s="19"/>
      <c r="AG18" s="16">
        <f>203+197</f>
        <v>400</v>
      </c>
      <c r="AH18" s="19"/>
      <c r="AI18" s="16"/>
      <c r="AJ18" s="19"/>
      <c r="AK18" s="16"/>
      <c r="AL18" s="19"/>
      <c r="AM18" s="16"/>
      <c r="AN18" s="19"/>
      <c r="AO18" s="16">
        <f>200+205</f>
        <v>405</v>
      </c>
      <c r="AP18" s="19"/>
      <c r="AQ18" s="16">
        <f>103+118</f>
        <v>221</v>
      </c>
      <c r="AR18" s="19"/>
      <c r="AS18" s="16">
        <f>71+92</f>
        <v>163</v>
      </c>
      <c r="AT18" s="19"/>
      <c r="AU18" s="16">
        <f>88+107</f>
        <v>195</v>
      </c>
      <c r="AV18" s="19"/>
      <c r="AW18" s="16">
        <f>44+55</f>
        <v>99</v>
      </c>
      <c r="AX18" s="19"/>
      <c r="AY18" s="16">
        <f>31+40</f>
        <v>71</v>
      </c>
      <c r="AZ18" s="19"/>
      <c r="BA18" s="16">
        <f>119+113</f>
        <v>232</v>
      </c>
      <c r="BB18" s="19"/>
      <c r="BC18" s="16">
        <f>35+50</f>
        <v>85</v>
      </c>
      <c r="BD18" s="19"/>
      <c r="BE18" s="16">
        <f>108+128</f>
        <v>236</v>
      </c>
      <c r="BF18" s="19"/>
      <c r="BG18" s="16">
        <f>49+42</f>
        <v>91</v>
      </c>
      <c r="BH18" s="19"/>
      <c r="BI18" s="16">
        <f>110+111</f>
        <v>221</v>
      </c>
      <c r="BJ18" s="19"/>
      <c r="BK18" s="16">
        <f>44+54</f>
        <v>98</v>
      </c>
      <c r="BL18" s="19"/>
      <c r="BM18" s="16">
        <f>256+255</f>
        <v>511</v>
      </c>
      <c r="BN18" s="19"/>
      <c r="BO18" s="16"/>
      <c r="BP18" s="19"/>
      <c r="BQ18" s="16"/>
      <c r="BR18" s="19"/>
      <c r="BS18" s="16"/>
      <c r="BU18" s="18">
        <f t="shared" si="0"/>
        <v>511</v>
      </c>
      <c r="BV18" s="19"/>
      <c r="BW18" s="19"/>
      <c r="DQ18" s="11"/>
      <c r="DR18" s="11"/>
      <c r="DS18" s="11"/>
      <c r="DT18" s="11"/>
    </row>
    <row r="19" spans="1:124" ht="13.5" thickBot="1" x14ac:dyDescent="0.25"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U19" s="19"/>
      <c r="BV19" s="19"/>
      <c r="BW19" s="19"/>
      <c r="DQ19" s="11"/>
      <c r="DR19" s="11"/>
      <c r="DS19" s="11"/>
      <c r="DT19" s="11"/>
    </row>
    <row r="20" spans="1:124" s="48" customFormat="1" ht="13.5" thickBot="1" x14ac:dyDescent="0.25">
      <c r="A20" s="3" t="s">
        <v>24</v>
      </c>
      <c r="C20" s="41">
        <f>+SUM(C11:C18)</f>
        <v>444</v>
      </c>
      <c r="D20" s="57"/>
      <c r="E20" s="41">
        <f>+SUM(E11:E18)</f>
        <v>2898</v>
      </c>
      <c r="F20" s="57"/>
      <c r="G20" s="41">
        <f>+SUM(G11:G18)</f>
        <v>120</v>
      </c>
      <c r="H20" s="57"/>
      <c r="I20" s="41">
        <f>+SUM(I11:I18)</f>
        <v>31</v>
      </c>
      <c r="J20" s="57"/>
      <c r="K20" s="41">
        <f>+SUM(K11:K18)</f>
        <v>14</v>
      </c>
      <c r="L20" s="57"/>
      <c r="M20" s="41">
        <f>+SUM(M11:M18)</f>
        <v>6</v>
      </c>
      <c r="N20" s="57"/>
      <c r="O20" s="41">
        <f>+SUM(O11:O18)</f>
        <v>6</v>
      </c>
      <c r="P20" s="57"/>
      <c r="Q20" s="41">
        <f>+SUM(Q11:Q18)</f>
        <v>9</v>
      </c>
      <c r="R20" s="57"/>
      <c r="S20" s="41">
        <f>+SUM(S11:S18)</f>
        <v>365</v>
      </c>
      <c r="T20" s="57"/>
      <c r="U20" s="41">
        <f>+SUM(U11:U18)</f>
        <v>2987</v>
      </c>
      <c r="V20" s="57"/>
      <c r="W20" s="41">
        <f>+SUM(W11:W18)</f>
        <v>43</v>
      </c>
      <c r="X20" s="57"/>
      <c r="Y20" s="41">
        <f>+SUM(Y11:Y18)</f>
        <v>30</v>
      </c>
      <c r="Z20" s="57"/>
      <c r="AA20" s="41">
        <f>+SUM(AA11:AA18)</f>
        <v>15</v>
      </c>
      <c r="AB20" s="57"/>
      <c r="AC20" s="41">
        <f>+SUM(AC11:AC18)</f>
        <v>37</v>
      </c>
      <c r="AD20" s="57"/>
      <c r="AE20" s="41">
        <f>+SUM(AE11:AE18)</f>
        <v>467</v>
      </c>
      <c r="AF20" s="57"/>
      <c r="AG20" s="41">
        <f>+SUM(AG11:AG18)</f>
        <v>2903</v>
      </c>
      <c r="AH20" s="57"/>
      <c r="AI20" s="41">
        <f>+SUM(AI11:AI18)</f>
        <v>0</v>
      </c>
      <c r="AJ20" s="57"/>
      <c r="AK20" s="41">
        <f>+SUM(AK11:AK18)</f>
        <v>1545</v>
      </c>
      <c r="AL20" s="57"/>
      <c r="AM20" s="41">
        <f>+SUM(AM11:AM18)</f>
        <v>0</v>
      </c>
      <c r="AN20" s="57"/>
      <c r="AO20" s="41">
        <f>+SUM(AO11:AO18)</f>
        <v>1480</v>
      </c>
      <c r="AP20" s="57"/>
      <c r="AQ20" s="41">
        <f>+SUM(AQ11:AQ18)</f>
        <v>1695</v>
      </c>
      <c r="AR20" s="57"/>
      <c r="AS20" s="41">
        <f>+SUM(AS11:AS18)</f>
        <v>1203</v>
      </c>
      <c r="AT20" s="57"/>
      <c r="AU20" s="41">
        <f>+SUM(AU11:AU18)</f>
        <v>1495</v>
      </c>
      <c r="AV20" s="57"/>
      <c r="AW20" s="41">
        <f>+SUM(AW11:AW18)</f>
        <v>703</v>
      </c>
      <c r="AX20" s="57"/>
      <c r="AY20" s="41">
        <f>+SUM(AY11:AY18)</f>
        <v>495</v>
      </c>
      <c r="AZ20" s="57"/>
      <c r="BA20" s="41">
        <f>+SUM(BA11:BA18)</f>
        <v>1753</v>
      </c>
      <c r="BB20" s="57"/>
      <c r="BC20" s="41">
        <f>+SUM(BC11:BC18)</f>
        <v>568</v>
      </c>
      <c r="BD20" s="57"/>
      <c r="BE20" s="41">
        <f>+SUM(BE11:BE18)</f>
        <v>1700</v>
      </c>
      <c r="BF20" s="57"/>
      <c r="BG20" s="41">
        <f>+SUM(BG11:BG18)</f>
        <v>545</v>
      </c>
      <c r="BH20" s="57"/>
      <c r="BI20" s="41">
        <f>+SUM(BI11:BI18)</f>
        <v>1566</v>
      </c>
      <c r="BJ20" s="57"/>
      <c r="BK20" s="41">
        <f>+SUM(BK11:BK18)</f>
        <v>660</v>
      </c>
      <c r="BL20" s="57"/>
      <c r="BM20" s="41">
        <f>+SUM(BM11:BM18)</f>
        <v>3693</v>
      </c>
      <c r="BN20" s="42"/>
      <c r="BO20" s="41">
        <f>+SUM(BO11:BO18)</f>
        <v>869</v>
      </c>
      <c r="BP20" s="42"/>
      <c r="BQ20" s="41">
        <f>+SUM(BQ11:BQ18)</f>
        <v>134</v>
      </c>
      <c r="BR20" s="42"/>
      <c r="BS20" s="41">
        <f>+SUM(BS11:BS18)</f>
        <v>0</v>
      </c>
      <c r="BT20" s="42"/>
      <c r="BU20" s="41">
        <f>+SUM(BU11:BU18)</f>
        <v>4696</v>
      </c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</row>
    <row r="21" spans="1:124" x14ac:dyDescent="0.2">
      <c r="A21" s="36" t="s">
        <v>73</v>
      </c>
      <c r="C21" s="19">
        <f>40+34</f>
        <v>74</v>
      </c>
      <c r="D21" s="19"/>
      <c r="E21" s="19">
        <f>322+387</f>
        <v>709</v>
      </c>
      <c r="F21" s="19"/>
      <c r="G21" s="19">
        <f>9+4</f>
        <v>13</v>
      </c>
      <c r="H21" s="19"/>
      <c r="I21" s="19">
        <f>1+1</f>
        <v>2</v>
      </c>
      <c r="J21" s="19"/>
      <c r="K21" s="19">
        <v>2</v>
      </c>
      <c r="L21" s="19"/>
      <c r="M21" s="19">
        <f>1+1</f>
        <v>2</v>
      </c>
      <c r="N21" s="19"/>
      <c r="O21" s="19">
        <v>2</v>
      </c>
      <c r="P21" s="19"/>
      <c r="Q21" s="19">
        <v>0</v>
      </c>
      <c r="R21" s="19"/>
      <c r="S21" s="19">
        <f>29+25</f>
        <v>54</v>
      </c>
      <c r="T21" s="19"/>
      <c r="U21" s="19">
        <f>349+416</f>
        <v>765</v>
      </c>
      <c r="V21" s="19"/>
      <c r="W21" s="19">
        <f>4+4</f>
        <v>8</v>
      </c>
      <c r="X21" s="19"/>
      <c r="Y21" s="19">
        <v>1</v>
      </c>
      <c r="Z21" s="19"/>
      <c r="AA21" s="19">
        <f>1+1</f>
        <v>2</v>
      </c>
      <c r="AB21" s="19"/>
      <c r="AC21" s="19">
        <v>0</v>
      </c>
      <c r="AD21" s="19"/>
      <c r="AE21" s="19">
        <f>38+48</f>
        <v>86</v>
      </c>
      <c r="AF21" s="19"/>
      <c r="AG21" s="19">
        <f>341+383</f>
        <v>724</v>
      </c>
      <c r="AH21" s="19"/>
      <c r="AI21" s="19"/>
      <c r="AJ21" s="19"/>
      <c r="AK21" s="19">
        <f>170</f>
        <v>170</v>
      </c>
      <c r="AL21" s="19"/>
      <c r="AM21" s="19"/>
      <c r="AN21" s="19"/>
      <c r="AO21" s="19">
        <f>164</f>
        <v>164</v>
      </c>
      <c r="AP21" s="19"/>
      <c r="AQ21" s="19">
        <f>84+75</f>
        <v>159</v>
      </c>
      <c r="AR21" s="19"/>
      <c r="AS21" s="19">
        <f>270+344</f>
        <v>614</v>
      </c>
      <c r="AT21" s="19"/>
      <c r="AU21" s="19">
        <f>77+61</f>
        <v>138</v>
      </c>
      <c r="AV21" s="19"/>
      <c r="AW21" s="19">
        <f>250+337</f>
        <v>587</v>
      </c>
      <c r="AX21" s="19"/>
      <c r="AY21" s="19">
        <f>253+339</f>
        <v>592</v>
      </c>
      <c r="AZ21" s="19"/>
      <c r="BA21" s="19">
        <f>92+69</f>
        <v>161</v>
      </c>
      <c r="BB21" s="19"/>
      <c r="BC21" s="19">
        <f>248+327</f>
        <v>575</v>
      </c>
      <c r="BD21" s="19"/>
      <c r="BE21" s="19">
        <f>154+136</f>
        <v>290</v>
      </c>
      <c r="BF21" s="19"/>
      <c r="BG21" s="19">
        <f>218+241</f>
        <v>459</v>
      </c>
      <c r="BH21" s="19"/>
      <c r="BI21" s="19">
        <f>139+164</f>
        <v>303</v>
      </c>
      <c r="BJ21" s="19"/>
      <c r="BK21" s="19">
        <f>225+230</f>
        <v>455</v>
      </c>
      <c r="BL21" s="19"/>
      <c r="BV21" s="19"/>
      <c r="BW21" s="19"/>
      <c r="DQ21" s="11"/>
      <c r="DR21" s="11"/>
      <c r="DS21" s="11"/>
      <c r="DT21" s="11"/>
    </row>
    <row r="22" spans="1:124" x14ac:dyDescent="0.2">
      <c r="A22" s="4" t="s">
        <v>25</v>
      </c>
      <c r="C22" s="19">
        <f>3+8</f>
        <v>11</v>
      </c>
      <c r="D22" s="19"/>
      <c r="E22" s="19">
        <f>40+56</f>
        <v>96</v>
      </c>
      <c r="F22" s="19"/>
      <c r="G22" s="19">
        <f>3+2</f>
        <v>5</v>
      </c>
      <c r="H22" s="19"/>
      <c r="I22" s="19">
        <v>2</v>
      </c>
      <c r="J22" s="19"/>
      <c r="K22" s="19">
        <f>1+1</f>
        <v>2</v>
      </c>
      <c r="L22" s="19"/>
      <c r="M22" s="19">
        <v>0</v>
      </c>
      <c r="N22" s="19"/>
      <c r="O22" s="19">
        <v>1</v>
      </c>
      <c r="P22" s="19"/>
      <c r="Q22" s="19">
        <v>0</v>
      </c>
      <c r="R22" s="19"/>
      <c r="S22" s="19">
        <f>2+7</f>
        <v>9</v>
      </c>
      <c r="T22" s="19"/>
      <c r="U22" s="19">
        <f>44+62</f>
        <v>106</v>
      </c>
      <c r="V22" s="19"/>
      <c r="W22" s="19">
        <f>1+2</f>
        <v>3</v>
      </c>
      <c r="X22" s="19"/>
      <c r="Y22" s="19">
        <v>1</v>
      </c>
      <c r="Z22" s="19"/>
      <c r="AA22" s="19">
        <v>0</v>
      </c>
      <c r="AB22" s="19"/>
      <c r="AC22" s="19">
        <v>1</v>
      </c>
      <c r="AD22" s="19"/>
      <c r="AE22" s="19">
        <f>2+8</f>
        <v>10</v>
      </c>
      <c r="AF22" s="19"/>
      <c r="AG22" s="19">
        <f>44+62</f>
        <v>106</v>
      </c>
      <c r="AH22" s="19"/>
      <c r="AI22" s="35" t="s">
        <v>108</v>
      </c>
      <c r="AJ22" s="19"/>
      <c r="AK22" s="19">
        <f>40</f>
        <v>40</v>
      </c>
      <c r="AL22" s="19"/>
      <c r="AM22" s="19"/>
      <c r="AN22" s="19"/>
      <c r="AO22" s="19">
        <f>59</f>
        <v>59</v>
      </c>
      <c r="AP22" s="19"/>
      <c r="AQ22" s="19">
        <f>17+28</f>
        <v>45</v>
      </c>
      <c r="AR22" s="19"/>
      <c r="AS22" s="19">
        <f>12+25</f>
        <v>37</v>
      </c>
      <c r="AT22" s="19"/>
      <c r="AU22" s="19">
        <f>16+29</f>
        <v>45</v>
      </c>
      <c r="AV22" s="19"/>
      <c r="AW22" s="19">
        <f>13+22</f>
        <v>35</v>
      </c>
      <c r="AX22" s="19"/>
      <c r="AY22" s="19">
        <f>6+16</f>
        <v>22</v>
      </c>
      <c r="AZ22" s="19"/>
      <c r="BA22" s="19">
        <f>24+28</f>
        <v>52</v>
      </c>
      <c r="BB22" s="19"/>
      <c r="BC22" s="19">
        <f>6+18</f>
        <v>24</v>
      </c>
      <c r="BD22" s="19"/>
      <c r="BE22" s="19">
        <f>37+51</f>
        <v>88</v>
      </c>
      <c r="BF22" s="19"/>
      <c r="BG22" s="19">
        <f>5+14</f>
        <v>19</v>
      </c>
      <c r="BH22" s="19"/>
      <c r="BI22" s="19">
        <f>35+45</f>
        <v>80</v>
      </c>
      <c r="BJ22" s="19"/>
      <c r="BK22" s="19">
        <f>4+16</f>
        <v>20</v>
      </c>
      <c r="BL22" s="19"/>
      <c r="BV22" s="19"/>
      <c r="BW22" s="19"/>
      <c r="DQ22" s="11"/>
      <c r="DR22" s="11"/>
      <c r="DS22" s="11"/>
      <c r="DT22" s="11"/>
    </row>
    <row r="23" spans="1:124" ht="13.5" thickBot="1" x14ac:dyDescent="0.25">
      <c r="A23" s="4" t="s">
        <v>79</v>
      </c>
      <c r="C23" s="19">
        <v>4</v>
      </c>
      <c r="D23" s="19"/>
      <c r="E23" s="19">
        <v>33</v>
      </c>
      <c r="F23" s="19"/>
      <c r="G23" s="19">
        <v>1</v>
      </c>
      <c r="H23" s="19"/>
      <c r="I23" s="19">
        <v>0</v>
      </c>
      <c r="J23" s="19"/>
      <c r="K23" s="19">
        <v>0</v>
      </c>
      <c r="L23" s="19"/>
      <c r="M23" s="19">
        <v>0</v>
      </c>
      <c r="N23" s="19"/>
      <c r="O23" s="19">
        <v>0</v>
      </c>
      <c r="P23" s="19"/>
      <c r="Q23" s="19">
        <v>0</v>
      </c>
      <c r="R23" s="19"/>
      <c r="S23" s="19">
        <v>4</v>
      </c>
      <c r="T23" s="19"/>
      <c r="U23" s="19">
        <v>31</v>
      </c>
      <c r="V23" s="19"/>
      <c r="W23" s="19">
        <v>0</v>
      </c>
      <c r="X23" s="19"/>
      <c r="Y23" s="19">
        <v>0</v>
      </c>
      <c r="Z23" s="19"/>
      <c r="AA23" s="19">
        <v>1</v>
      </c>
      <c r="AB23" s="19"/>
      <c r="AC23" s="19">
        <v>0</v>
      </c>
      <c r="AD23" s="19"/>
      <c r="AE23" s="19">
        <v>5</v>
      </c>
      <c r="AF23" s="19"/>
      <c r="AG23" s="19">
        <v>31</v>
      </c>
      <c r="AH23" s="19"/>
      <c r="AI23" s="35" t="s">
        <v>108</v>
      </c>
      <c r="AJ23" s="19"/>
      <c r="AK23" s="19">
        <v>15</v>
      </c>
      <c r="AL23" s="19"/>
      <c r="AM23" s="35" t="s">
        <v>108</v>
      </c>
      <c r="AN23" s="19"/>
      <c r="AO23" s="19">
        <v>0</v>
      </c>
      <c r="AP23" s="19"/>
      <c r="AQ23" s="19">
        <v>7</v>
      </c>
      <c r="AR23" s="19"/>
      <c r="AS23" s="19">
        <v>7</v>
      </c>
      <c r="AT23" s="19"/>
      <c r="AU23" s="19">
        <v>8</v>
      </c>
      <c r="AV23" s="19"/>
      <c r="AW23" s="19">
        <v>0</v>
      </c>
      <c r="AX23" s="19"/>
      <c r="AY23" s="19">
        <v>3</v>
      </c>
      <c r="AZ23" s="19"/>
      <c r="BA23" s="19">
        <v>16</v>
      </c>
      <c r="BB23" s="19"/>
      <c r="BC23" s="19">
        <v>3</v>
      </c>
      <c r="BD23" s="19"/>
      <c r="BE23" s="19">
        <v>20</v>
      </c>
      <c r="BF23" s="19"/>
      <c r="BG23" s="19">
        <v>0</v>
      </c>
      <c r="BH23" s="19"/>
      <c r="BI23" s="19">
        <v>20</v>
      </c>
      <c r="BJ23" s="19"/>
      <c r="BK23" s="19">
        <v>2</v>
      </c>
      <c r="BL23" s="19"/>
      <c r="BV23" s="19"/>
      <c r="BW23" s="19"/>
      <c r="DQ23" s="11"/>
      <c r="DR23" s="11"/>
      <c r="DS23" s="11"/>
      <c r="DT23" s="11"/>
    </row>
    <row r="24" spans="1:124" s="44" customFormat="1" ht="13.5" thickBot="1" x14ac:dyDescent="0.25">
      <c r="A24" s="3" t="s">
        <v>26</v>
      </c>
      <c r="B24" s="48"/>
      <c r="C24" s="41">
        <f>+SUM(C20:C23)</f>
        <v>533</v>
      </c>
      <c r="D24" s="57"/>
      <c r="E24" s="41">
        <f>+SUM(E20:E23)</f>
        <v>3736</v>
      </c>
      <c r="F24" s="57"/>
      <c r="G24" s="41">
        <f>+SUM(G20:G23)</f>
        <v>139</v>
      </c>
      <c r="H24" s="57"/>
      <c r="I24" s="41">
        <f>+SUM(I20:I23)</f>
        <v>35</v>
      </c>
      <c r="J24" s="57"/>
      <c r="K24" s="41">
        <f>+SUM(K20:K23)</f>
        <v>18</v>
      </c>
      <c r="L24" s="57"/>
      <c r="M24" s="41">
        <f>+SUM(M20:M23)</f>
        <v>8</v>
      </c>
      <c r="N24" s="57"/>
      <c r="O24" s="41">
        <f>+SUM(O20:O23)</f>
        <v>9</v>
      </c>
      <c r="P24" s="57"/>
      <c r="Q24" s="41">
        <f>+SUM(Q20:Q23)</f>
        <v>9</v>
      </c>
      <c r="R24" s="57"/>
      <c r="S24" s="41">
        <f>+SUM(S20:S23)</f>
        <v>432</v>
      </c>
      <c r="T24" s="57"/>
      <c r="U24" s="41">
        <f>+SUM(U20:U23)</f>
        <v>3889</v>
      </c>
      <c r="V24" s="57"/>
      <c r="W24" s="41">
        <f>+SUM(W20:W23)</f>
        <v>54</v>
      </c>
      <c r="X24" s="57"/>
      <c r="Y24" s="41">
        <f>+SUM(Y20:Y23)</f>
        <v>32</v>
      </c>
      <c r="Z24" s="57"/>
      <c r="AA24" s="41">
        <f>+SUM(AA20:AA23)</f>
        <v>18</v>
      </c>
      <c r="AB24" s="57"/>
      <c r="AC24" s="41">
        <f>+SUM(AC20:AC23)</f>
        <v>38</v>
      </c>
      <c r="AD24" s="57"/>
      <c r="AE24" s="41">
        <f>+SUM(AE20:AE23)</f>
        <v>568</v>
      </c>
      <c r="AF24" s="57"/>
      <c r="AG24" s="41">
        <f>+SUM(AG20:AG23)</f>
        <v>3764</v>
      </c>
      <c r="AH24" s="57"/>
      <c r="AI24" s="41">
        <f>+SUM(AI20:AI23)</f>
        <v>0</v>
      </c>
      <c r="AJ24" s="57"/>
      <c r="AK24" s="41">
        <f>+SUM(AK20:AK23)</f>
        <v>1770</v>
      </c>
      <c r="AL24" s="57"/>
      <c r="AM24" s="41">
        <f>+SUM(AM20:AM23)</f>
        <v>0</v>
      </c>
      <c r="AN24" s="57"/>
      <c r="AO24" s="41">
        <f>+SUM(AO20:AO23)</f>
        <v>1703</v>
      </c>
      <c r="AP24" s="57"/>
      <c r="AQ24" s="41">
        <f>+SUM(AQ20:AQ23)</f>
        <v>1906</v>
      </c>
      <c r="AR24" s="57"/>
      <c r="AS24" s="41">
        <f>+SUM(AS20:AS23)</f>
        <v>1861</v>
      </c>
      <c r="AT24" s="57"/>
      <c r="AU24" s="41">
        <f>+SUM(AU20:AU23)</f>
        <v>1686</v>
      </c>
      <c r="AV24" s="57"/>
      <c r="AW24" s="41">
        <f>+SUM(AW20:AW23)</f>
        <v>1325</v>
      </c>
      <c r="AX24" s="57"/>
      <c r="AY24" s="41">
        <f>+SUM(AY20:AY23)</f>
        <v>1112</v>
      </c>
      <c r="AZ24" s="57"/>
      <c r="BA24" s="41">
        <f>+SUM(BA20:BA23)</f>
        <v>1982</v>
      </c>
      <c r="BB24" s="57"/>
      <c r="BC24" s="41">
        <f>+SUM(BC20:BC23)</f>
        <v>1170</v>
      </c>
      <c r="BD24" s="57"/>
      <c r="BE24" s="41">
        <f>+SUM(BE20:BE23)</f>
        <v>2098</v>
      </c>
      <c r="BF24" s="57"/>
      <c r="BG24" s="41">
        <f>+SUM(BG20:BG23)</f>
        <v>1023</v>
      </c>
      <c r="BH24" s="57"/>
      <c r="BI24" s="41">
        <f>+SUM(BI20:BI23)</f>
        <v>1969</v>
      </c>
      <c r="BJ24" s="57"/>
      <c r="BK24" s="41">
        <f>+SUM(BK20:BK23)</f>
        <v>1137</v>
      </c>
      <c r="BL24" s="57"/>
      <c r="BM24" s="40"/>
      <c r="BN24" s="40"/>
      <c r="BO24" s="40"/>
      <c r="BP24" s="40"/>
      <c r="BQ24" s="40"/>
      <c r="BR24" s="40"/>
      <c r="BS24" s="40"/>
      <c r="BT24" s="57"/>
      <c r="BU24" s="43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7"/>
      <c r="DK24" s="57"/>
      <c r="DL24" s="57"/>
      <c r="DM24" s="57"/>
      <c r="DN24" s="57"/>
      <c r="DO24" s="57"/>
      <c r="DP24" s="57"/>
    </row>
    <row r="25" spans="1:124" x14ac:dyDescent="0.2"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U25" s="19"/>
      <c r="BW25" s="19"/>
    </row>
    <row r="26" spans="1:124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U26" s="19"/>
      <c r="BW26" s="19"/>
    </row>
    <row r="27" spans="1:124" x14ac:dyDescent="0.2">
      <c r="BU27" s="19"/>
      <c r="BW27" s="19"/>
    </row>
    <row r="28" spans="1:124" x14ac:dyDescent="0.2">
      <c r="C28" s="1"/>
      <c r="D28" s="1"/>
      <c r="E28" s="1"/>
      <c r="F28" s="19"/>
      <c r="G28" s="1"/>
      <c r="H28" s="19"/>
      <c r="I28" s="1"/>
      <c r="J28" s="19"/>
      <c r="K28" s="1"/>
      <c r="L28" s="19"/>
      <c r="M28" s="1"/>
      <c r="N28" s="19"/>
      <c r="O28" s="1"/>
      <c r="P28" s="19"/>
      <c r="Q28" s="1"/>
      <c r="R28" s="19"/>
      <c r="S28" s="1"/>
      <c r="T28" s="19"/>
      <c r="U28" s="1"/>
      <c r="V28" s="19"/>
      <c r="W28" s="1"/>
      <c r="X28" s="19"/>
      <c r="Y28" s="1"/>
      <c r="Z28" s="19"/>
      <c r="AA28" s="1"/>
      <c r="AC28" s="1"/>
      <c r="AE28" s="1"/>
      <c r="AG28" s="1"/>
      <c r="AI28" s="1"/>
      <c r="AK28" s="1"/>
      <c r="AM28" s="1"/>
      <c r="AO28" s="1"/>
      <c r="AQ28" s="1"/>
      <c r="AS28" s="1"/>
      <c r="AU28" s="1"/>
      <c r="AW28" s="1"/>
      <c r="AY28" s="1"/>
      <c r="AZ28" s="19"/>
      <c r="BA28" s="1"/>
      <c r="BB28" s="19"/>
      <c r="BC28" s="1"/>
      <c r="BD28" s="19"/>
      <c r="BE28" s="1"/>
      <c r="BF28" s="19"/>
      <c r="BG28" s="1"/>
      <c r="BH28" s="19"/>
      <c r="BI28" s="1"/>
      <c r="BJ28" s="19"/>
      <c r="BK28" s="1"/>
      <c r="BL28" s="19"/>
    </row>
    <row r="29" spans="1:124" x14ac:dyDescent="0.2">
      <c r="C29" s="1"/>
      <c r="D29" s="1"/>
      <c r="E29" s="1"/>
      <c r="F29" s="19"/>
      <c r="G29" s="1"/>
      <c r="H29" s="19"/>
      <c r="I29" s="1"/>
      <c r="J29" s="19"/>
      <c r="K29" s="1"/>
      <c r="L29" s="19"/>
      <c r="M29" s="1"/>
      <c r="N29" s="19"/>
      <c r="O29" s="1"/>
      <c r="P29" s="19"/>
      <c r="Q29" s="1"/>
      <c r="R29" s="19"/>
      <c r="S29" s="1"/>
      <c r="T29" s="19"/>
      <c r="U29" s="1"/>
      <c r="V29" s="19"/>
      <c r="W29" s="1"/>
      <c r="X29" s="19"/>
      <c r="Y29" s="1"/>
      <c r="Z29" s="19"/>
      <c r="AA29" s="1"/>
      <c r="AC29" s="1"/>
      <c r="AE29" s="1"/>
      <c r="AG29" s="1"/>
      <c r="AI29" s="1"/>
      <c r="AK29" s="1"/>
      <c r="AM29" s="1"/>
      <c r="AO29" s="1"/>
      <c r="AQ29" s="1"/>
      <c r="AS29" s="1"/>
      <c r="AU29" s="1"/>
      <c r="AW29" s="1"/>
      <c r="AY29" s="1"/>
      <c r="AZ29" s="19"/>
      <c r="BA29" s="1"/>
      <c r="BB29" s="19"/>
      <c r="BC29" s="1"/>
      <c r="BD29" s="19"/>
      <c r="BE29" s="1"/>
      <c r="BF29" s="19"/>
      <c r="BG29" s="1"/>
      <c r="BH29" s="19"/>
      <c r="BI29" s="1"/>
      <c r="BJ29" s="19"/>
      <c r="BK29" s="1"/>
      <c r="BL29" s="19"/>
    </row>
    <row r="30" spans="1:124" x14ac:dyDescent="0.2">
      <c r="C30" s="1"/>
      <c r="D30" s="1"/>
      <c r="E30" s="1"/>
      <c r="F30" s="19"/>
      <c r="G30" s="1"/>
      <c r="H30" s="19"/>
      <c r="I30" s="1"/>
      <c r="J30" s="19"/>
      <c r="K30" s="1"/>
      <c r="L30" s="19"/>
      <c r="M30" s="1"/>
      <c r="N30" s="19"/>
      <c r="O30" s="1"/>
      <c r="P30" s="19"/>
      <c r="Q30" s="1"/>
      <c r="R30" s="19"/>
      <c r="S30" s="1"/>
      <c r="T30" s="19"/>
      <c r="U30" s="1"/>
      <c r="V30" s="19"/>
      <c r="W30" s="1"/>
      <c r="X30" s="19"/>
      <c r="Y30" s="1"/>
      <c r="Z30" s="19"/>
      <c r="AA30" s="1"/>
      <c r="AC30" s="1"/>
      <c r="AE30" s="1"/>
      <c r="AG30" s="1"/>
      <c r="AI30" s="1"/>
      <c r="AK30" s="1"/>
      <c r="AM30" s="1"/>
      <c r="AO30" s="1"/>
      <c r="AQ30" s="1"/>
      <c r="AS30" s="1"/>
      <c r="AU30" s="1"/>
      <c r="AW30" s="1"/>
      <c r="AY30" s="1"/>
      <c r="AZ30" s="19"/>
      <c r="BA30" s="1"/>
      <c r="BB30" s="19"/>
      <c r="BC30" s="1"/>
      <c r="BD30" s="19"/>
      <c r="BE30" s="1"/>
      <c r="BF30" s="19"/>
      <c r="BG30" s="1"/>
      <c r="BH30" s="19"/>
      <c r="BI30" s="1"/>
      <c r="BJ30" s="19"/>
      <c r="BK30" s="1"/>
      <c r="BL30" s="19"/>
    </row>
    <row r="31" spans="1:124" x14ac:dyDescent="0.2">
      <c r="C31" s="1"/>
      <c r="D31" s="1"/>
      <c r="E31" s="1"/>
      <c r="F31" s="19"/>
      <c r="G31" s="1"/>
      <c r="H31" s="19"/>
      <c r="I31" s="1"/>
      <c r="J31" s="19"/>
      <c r="K31" s="1"/>
      <c r="L31" s="19"/>
      <c r="M31" s="1"/>
      <c r="N31" s="19"/>
      <c r="O31" s="1"/>
      <c r="P31" s="19"/>
      <c r="Q31" s="1"/>
      <c r="R31" s="19"/>
      <c r="S31" s="1"/>
      <c r="T31" s="19"/>
      <c r="U31" s="1"/>
      <c r="V31" s="19"/>
      <c r="W31" s="1"/>
      <c r="X31" s="19"/>
      <c r="Y31" s="1"/>
      <c r="Z31" s="19"/>
      <c r="AA31" s="1"/>
      <c r="AC31" s="1"/>
      <c r="AE31" s="1"/>
      <c r="AG31" s="1"/>
      <c r="AI31" s="1"/>
      <c r="AK31" s="1"/>
      <c r="AM31" s="1"/>
      <c r="AO31" s="1"/>
      <c r="AQ31" s="1"/>
      <c r="AS31" s="1"/>
      <c r="AU31" s="1"/>
      <c r="AW31" s="1"/>
      <c r="AY31" s="1"/>
      <c r="AZ31" s="19"/>
      <c r="BA31" s="1"/>
      <c r="BB31" s="19"/>
      <c r="BC31" s="1"/>
      <c r="BD31" s="19"/>
      <c r="BE31" s="1"/>
      <c r="BF31" s="19"/>
      <c r="BG31" s="1"/>
      <c r="BH31" s="19"/>
      <c r="BI31" s="1"/>
      <c r="BJ31" s="19"/>
      <c r="BK31" s="1"/>
      <c r="BL31" s="19"/>
    </row>
  </sheetData>
  <customSheetViews>
    <customSheetView guid="{E44E71C3-F2DB-4787-90CC-B0F1BDA00262}" scale="75" showPageBreaks="1" printArea="1" view="pageBreakPreview">
      <pane xSplit="1" ySplit="1" topLeftCell="B2" activePane="bottomRight" state="frozen"/>
      <selection pane="bottomRight" activeCell="AI19" sqref="AI19:AO21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&amp;C&amp;"Arial,Bold"&amp;11City of Pleasantville 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V6" activePane="bottomRight" state="frozen"/>
      <selection pane="bottomRight" activeCell="AN17" sqref="AN17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&amp;C&amp;"Arial,Bold"&amp;11City of Pleasantville 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V6" activePane="bottomRight" state="frozen"/>
      <selection pane="bottomRight" activeCell="AN17" sqref="AN17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&amp;C&amp;"Arial,Bold"&amp;11City of Pleasantville 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V6" activePane="bottomRight" state="frozen"/>
      <selection pane="bottomRight" activeCell="AN17" sqref="AN17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&amp;C&amp;"Arial,Bold"&amp;11City of Pleasantville 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V6" activePane="bottomRight" state="frozen"/>
      <selection pane="bottomRight" activeCell="AN17" sqref="AN17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&amp;C&amp;"Arial,Bold"&amp;11City of Pleasantville 
General Election - November 3, 2015
Prepared by the Office of Edward P. McGettigan, Atlantic County Clerk</oddHeader>
        <oddFooter>&amp;R&amp;11Page &amp;P</oddFooter>
      </headerFooter>
    </customSheetView>
  </customSheetViews>
  <mergeCells count="11">
    <mergeCell ref="C5:Q5"/>
    <mergeCell ref="S5:AC5"/>
    <mergeCell ref="AE5:AG5"/>
    <mergeCell ref="AI5:AK5"/>
    <mergeCell ref="AM5:AO5"/>
    <mergeCell ref="BI5:BK5"/>
    <mergeCell ref="AQ5:AY5"/>
    <mergeCell ref="BA3:BC3"/>
    <mergeCell ref="BA4:BC4"/>
    <mergeCell ref="BA5:BC5"/>
    <mergeCell ref="BE5:BG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&amp;C&amp;"Arial,Bold"&amp;11City of Pleasantville 
General Election - November 6, 2018
Prepared by the Office of Edward P. McGettigan, Atlantic County Clerk</oddHeader>
    <oddFooter>&amp;R&amp;11Page &amp;P</oddFooter>
  </headerFooter>
  <colBreaks count="2" manualBreakCount="2">
    <brk id="29" max="24" man="1"/>
    <brk id="55" max="24" man="1"/>
  </colBreaks>
  <drawing r:id="rId7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2:DD26"/>
  <sheetViews>
    <sheetView zoomScale="75" zoomScaleNormal="75" zoomScaleSheetLayoutView="75" workbookViewId="0">
      <pane xSplit="1" ySplit="10" topLeftCell="AC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33" customWidth="1"/>
    <col min="5" max="5" width="12.140625" style="33" customWidth="1"/>
    <col min="6" max="6" width="1.7109375" style="33" customWidth="1"/>
    <col min="7" max="7" width="12.14062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2.14062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4.85546875" style="33" customWidth="1"/>
    <col min="18" max="18" width="1.7109375" style="33" customWidth="1"/>
    <col min="19" max="19" width="13.28515625" style="33" customWidth="1"/>
    <col min="20" max="20" width="1.7109375" style="33" customWidth="1"/>
    <col min="21" max="21" width="12.1406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2.140625" style="33" customWidth="1"/>
    <col min="28" max="28" width="1.7109375" style="33" customWidth="1"/>
    <col min="29" max="29" width="12.140625" style="33" customWidth="1"/>
    <col min="30" max="30" width="1.7109375" style="33" customWidth="1"/>
    <col min="31" max="31" width="12.140625" style="33" customWidth="1"/>
    <col min="32" max="32" width="1.7109375" style="33" customWidth="1"/>
    <col min="33" max="33" width="13.7109375" style="33" bestFit="1" customWidth="1"/>
    <col min="34" max="34" width="1.7109375" style="33" customWidth="1"/>
    <col min="35" max="35" width="12.140625" style="33" customWidth="1"/>
    <col min="36" max="36" width="1.7109375" style="33" customWidth="1"/>
    <col min="37" max="37" width="12.140625" style="33" customWidth="1"/>
    <col min="38" max="38" width="1.7109375" style="33" customWidth="1"/>
    <col min="39" max="39" width="12.140625" style="33" customWidth="1"/>
    <col min="40" max="40" width="1.7109375" style="33" customWidth="1"/>
    <col min="41" max="41" width="12.140625" style="33" customWidth="1"/>
    <col min="42" max="42" width="1.7109375" style="33" customWidth="1"/>
    <col min="43" max="43" width="14.42578125" style="33" bestFit="1" customWidth="1"/>
    <col min="44" max="44" width="1.7109375" style="33" customWidth="1"/>
    <col min="45" max="45" width="12.140625" style="33" customWidth="1"/>
    <col min="46" max="46" width="1.7109375" style="33" customWidth="1"/>
    <col min="47" max="47" width="12.140625" style="33" customWidth="1"/>
    <col min="48" max="48" width="1.7109375" style="33" customWidth="1"/>
    <col min="49" max="49" width="7.7109375" style="33" customWidth="1"/>
    <col min="50" max="50" width="1.7109375" style="33" customWidth="1"/>
    <col min="51" max="51" width="7.7109375" style="33" customWidth="1"/>
    <col min="52" max="52" width="1.7109375" style="33" customWidth="1"/>
    <col min="53" max="53" width="8.85546875" style="1" bestFit="1" customWidth="1"/>
    <col min="54" max="54" width="1.7109375" style="1" customWidth="1"/>
    <col min="55" max="55" width="8.140625" style="1" bestFit="1" customWidth="1"/>
    <col min="56" max="56" width="1.7109375" style="1" customWidth="1"/>
    <col min="57" max="57" width="10.85546875" style="1" bestFit="1" customWidth="1"/>
    <col min="58" max="58" width="1.7109375" style="1" customWidth="1"/>
    <col min="59" max="59" width="11.140625" style="1" bestFit="1" customWidth="1"/>
    <col min="60" max="60" width="1.7109375" style="1" customWidth="1"/>
    <col min="61" max="61" width="6.85546875" style="1" bestFit="1" customWidth="1"/>
    <col min="62" max="62" width="1.7109375" style="19" customWidth="1"/>
    <col min="63" max="63" width="12" style="33" customWidth="1"/>
    <col min="64" max="64" width="1.7109375" style="33" customWidth="1"/>
    <col min="65" max="65" width="12" style="33" customWidth="1"/>
    <col min="66" max="66" width="1.7109375" style="19" customWidth="1"/>
    <col min="67" max="67" width="9.140625" style="19"/>
    <col min="68" max="68" width="1.7109375" style="19" customWidth="1"/>
    <col min="69" max="69" width="9.140625" style="19"/>
    <col min="70" max="70" width="1.7109375" style="19" customWidth="1"/>
    <col min="71" max="71" width="9.140625" style="19"/>
    <col min="72" max="72" width="1.7109375" style="19" customWidth="1"/>
    <col min="73" max="73" width="9.140625" style="19"/>
    <col min="74" max="74" width="1.7109375" style="19" customWidth="1"/>
    <col min="75" max="75" width="9.140625" style="19"/>
    <col min="76" max="76" width="1.7109375" style="19" customWidth="1"/>
    <col min="77" max="77" width="9.140625" style="19"/>
    <col min="78" max="78" width="1.7109375" style="19" customWidth="1"/>
    <col min="79" max="108" width="9.140625" style="19"/>
    <col min="109" max="16384" width="9.140625" style="11"/>
  </cols>
  <sheetData>
    <row r="2" spans="1:108" s="407" customFormat="1" ht="14.25" x14ac:dyDescent="0.2">
      <c r="A2" s="309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  <c r="AQ2" s="408"/>
      <c r="AR2" s="408"/>
      <c r="AS2" s="408"/>
      <c r="AT2" s="408"/>
      <c r="AU2" s="408"/>
      <c r="AV2" s="408"/>
      <c r="AW2" s="408"/>
      <c r="AX2" s="408"/>
      <c r="AY2" s="408"/>
      <c r="AZ2" s="408"/>
      <c r="BA2" s="360"/>
      <c r="BB2" s="360"/>
      <c r="BC2" s="360"/>
      <c r="BD2" s="360"/>
      <c r="BE2" s="360"/>
      <c r="BF2" s="360"/>
      <c r="BG2" s="360"/>
      <c r="BH2" s="360"/>
      <c r="BI2" s="360"/>
      <c r="BJ2" s="409"/>
      <c r="BK2" s="408"/>
      <c r="BL2" s="408"/>
      <c r="BM2" s="408"/>
      <c r="BN2" s="409"/>
      <c r="BO2" s="409"/>
      <c r="BP2" s="409"/>
      <c r="BQ2" s="409"/>
      <c r="BR2" s="409"/>
      <c r="BS2" s="409"/>
      <c r="BT2" s="409"/>
      <c r="BU2" s="409"/>
      <c r="BV2" s="409"/>
      <c r="BW2" s="409"/>
      <c r="BX2" s="409"/>
      <c r="BY2" s="409"/>
      <c r="BZ2" s="409"/>
      <c r="CA2" s="409"/>
      <c r="CB2" s="409"/>
      <c r="CC2" s="409"/>
      <c r="CD2" s="409"/>
      <c r="CE2" s="409"/>
      <c r="CF2" s="409"/>
      <c r="CG2" s="409"/>
      <c r="CH2" s="409"/>
      <c r="CI2" s="409"/>
      <c r="CJ2" s="409"/>
      <c r="CK2" s="409"/>
      <c r="CL2" s="409"/>
      <c r="CM2" s="409"/>
      <c r="CN2" s="409"/>
      <c r="CO2" s="409"/>
      <c r="CP2" s="409"/>
      <c r="CQ2" s="409"/>
      <c r="CR2" s="409"/>
      <c r="CS2" s="409"/>
      <c r="CT2" s="409"/>
      <c r="CU2" s="409"/>
      <c r="CV2" s="409"/>
      <c r="CW2" s="409"/>
      <c r="CX2" s="409"/>
      <c r="CY2" s="409"/>
      <c r="CZ2" s="409"/>
      <c r="DA2" s="409"/>
      <c r="DB2" s="409"/>
      <c r="DC2" s="409"/>
      <c r="DD2" s="409"/>
    </row>
    <row r="3" spans="1:108" s="407" customFormat="1" ht="14.25" x14ac:dyDescent="0.2">
      <c r="A3" s="309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  <c r="AN3" s="408"/>
      <c r="AO3" s="408"/>
      <c r="AP3" s="408"/>
      <c r="AQ3" s="408"/>
      <c r="AR3" s="408"/>
      <c r="AS3" s="408"/>
      <c r="AT3" s="408"/>
      <c r="AU3" s="408"/>
      <c r="AV3" s="408"/>
      <c r="AW3" s="408"/>
      <c r="AX3" s="408"/>
      <c r="AY3" s="408"/>
      <c r="AZ3" s="408"/>
      <c r="BA3" s="360"/>
      <c r="BB3" s="360"/>
      <c r="BC3" s="360"/>
      <c r="BD3" s="360"/>
      <c r="BE3" s="360"/>
      <c r="BF3" s="360"/>
      <c r="BG3" s="360"/>
      <c r="BH3" s="360"/>
      <c r="BI3" s="360"/>
      <c r="BJ3" s="409"/>
      <c r="BK3" s="408"/>
      <c r="BL3" s="408"/>
      <c r="BM3" s="408"/>
      <c r="BN3" s="409"/>
      <c r="BO3" s="409"/>
      <c r="BP3" s="409"/>
      <c r="BQ3" s="409"/>
      <c r="BR3" s="409"/>
      <c r="BS3" s="409"/>
      <c r="BT3" s="409"/>
      <c r="BU3" s="409"/>
      <c r="BV3" s="409"/>
      <c r="BW3" s="409"/>
      <c r="BX3" s="409"/>
      <c r="BY3" s="409"/>
      <c r="BZ3" s="409"/>
      <c r="CA3" s="409"/>
      <c r="CB3" s="409"/>
      <c r="CC3" s="409"/>
      <c r="CD3" s="409"/>
      <c r="CE3" s="409"/>
      <c r="CF3" s="409"/>
      <c r="CG3" s="409"/>
      <c r="CH3" s="409"/>
      <c r="CI3" s="409"/>
      <c r="CJ3" s="409"/>
      <c r="CK3" s="409"/>
      <c r="CL3" s="409"/>
      <c r="CM3" s="409"/>
      <c r="CN3" s="409"/>
      <c r="CO3" s="409"/>
      <c r="CP3" s="409"/>
      <c r="CQ3" s="409"/>
      <c r="CR3" s="409"/>
      <c r="CS3" s="409"/>
      <c r="CT3" s="409"/>
      <c r="CU3" s="409"/>
      <c r="CV3" s="409"/>
      <c r="CW3" s="409"/>
      <c r="CX3" s="409"/>
      <c r="CY3" s="409"/>
      <c r="CZ3" s="409"/>
      <c r="DA3" s="409"/>
      <c r="DB3" s="409"/>
      <c r="DC3" s="409"/>
      <c r="DD3" s="409"/>
    </row>
    <row r="4" spans="1:108" s="407" customFormat="1" ht="15" x14ac:dyDescent="0.25">
      <c r="A4" s="309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311"/>
      <c r="S4" s="311"/>
      <c r="T4" s="311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408"/>
      <c r="AI4" s="408"/>
      <c r="AJ4" s="408"/>
      <c r="AK4" s="408"/>
      <c r="AL4" s="408"/>
      <c r="AM4" s="459" t="s">
        <v>134</v>
      </c>
      <c r="AN4" s="459"/>
      <c r="AO4" s="459"/>
      <c r="AP4" s="459"/>
      <c r="AQ4" s="459"/>
      <c r="AR4" s="324"/>
      <c r="AS4" s="324"/>
      <c r="AT4" s="324"/>
      <c r="AU4" s="324"/>
      <c r="AV4" s="324"/>
      <c r="AW4" s="324"/>
      <c r="AX4" s="324"/>
      <c r="AY4" s="323"/>
      <c r="AZ4" s="323"/>
      <c r="BA4" s="360"/>
      <c r="BB4" s="360"/>
      <c r="BC4" s="360"/>
      <c r="BD4" s="360"/>
      <c r="BE4" s="360"/>
      <c r="BF4" s="360"/>
      <c r="BG4" s="360"/>
      <c r="BH4" s="360"/>
      <c r="BI4" s="360"/>
      <c r="BJ4" s="409"/>
      <c r="BK4" s="310"/>
      <c r="BL4" s="310"/>
      <c r="BM4" s="310"/>
      <c r="BN4" s="409"/>
      <c r="BO4" s="409"/>
      <c r="BP4" s="409"/>
      <c r="BQ4" s="409"/>
      <c r="BR4" s="409"/>
      <c r="BS4" s="409"/>
      <c r="BT4" s="409"/>
      <c r="BU4" s="409"/>
      <c r="BV4" s="409"/>
      <c r="BW4" s="409"/>
      <c r="BX4" s="409"/>
      <c r="BY4" s="409"/>
      <c r="BZ4" s="409"/>
      <c r="CA4" s="409"/>
      <c r="CB4" s="409"/>
      <c r="CC4" s="409"/>
      <c r="CD4" s="409"/>
      <c r="CE4" s="409"/>
      <c r="CF4" s="409"/>
      <c r="CG4" s="409"/>
      <c r="CH4" s="409"/>
      <c r="CI4" s="409"/>
      <c r="CJ4" s="409"/>
      <c r="CK4" s="409"/>
      <c r="CL4" s="409"/>
      <c r="CM4" s="409"/>
      <c r="CN4" s="409"/>
      <c r="CO4" s="409"/>
      <c r="CP4" s="409"/>
      <c r="CQ4" s="409"/>
      <c r="CR4" s="409"/>
      <c r="CS4" s="409"/>
      <c r="CT4" s="409"/>
      <c r="CU4" s="409"/>
      <c r="CV4" s="409"/>
      <c r="CW4" s="409"/>
      <c r="CX4" s="409"/>
      <c r="CY4" s="409"/>
      <c r="CZ4" s="409"/>
      <c r="DA4" s="409"/>
      <c r="DB4" s="409"/>
      <c r="DC4" s="409"/>
      <c r="DD4" s="409"/>
    </row>
    <row r="5" spans="1:108" s="407" customFormat="1" ht="15.75" thickBot="1" x14ac:dyDescent="0.3">
      <c r="A5" s="309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134</v>
      </c>
      <c r="AJ5" s="464"/>
      <c r="AK5" s="464"/>
      <c r="AL5" s="323"/>
      <c r="AM5" s="464" t="s">
        <v>137</v>
      </c>
      <c r="AN5" s="464"/>
      <c r="AO5" s="464"/>
      <c r="AP5" s="464"/>
      <c r="AQ5" s="464"/>
      <c r="AR5" s="323"/>
      <c r="AS5" s="464" t="s">
        <v>135</v>
      </c>
      <c r="AT5" s="464"/>
      <c r="AU5" s="464"/>
      <c r="AV5" s="323"/>
      <c r="AW5" s="457" t="s">
        <v>196</v>
      </c>
      <c r="AX5" s="457"/>
      <c r="AY5" s="457"/>
      <c r="AZ5" s="323"/>
      <c r="BA5" s="360"/>
      <c r="BB5" s="360"/>
      <c r="BC5" s="360"/>
      <c r="BD5" s="360"/>
      <c r="BE5" s="360"/>
      <c r="BF5" s="360"/>
      <c r="BG5" s="360"/>
      <c r="BH5" s="360"/>
      <c r="BI5" s="360"/>
      <c r="BJ5" s="409"/>
      <c r="BK5" s="310"/>
      <c r="BL5" s="310"/>
      <c r="BM5" s="310"/>
      <c r="BN5" s="409"/>
      <c r="BO5" s="409"/>
      <c r="BP5" s="409"/>
      <c r="BQ5" s="409"/>
      <c r="BR5" s="409"/>
      <c r="BS5" s="409"/>
      <c r="BT5" s="409"/>
      <c r="BU5" s="409"/>
      <c r="BV5" s="409"/>
      <c r="BW5" s="409"/>
      <c r="BX5" s="409"/>
      <c r="BY5" s="409"/>
      <c r="BZ5" s="409"/>
      <c r="CA5" s="409"/>
      <c r="CB5" s="409"/>
      <c r="CC5" s="409"/>
      <c r="CD5" s="409"/>
      <c r="CE5" s="409"/>
      <c r="CF5" s="409"/>
      <c r="CG5" s="409"/>
      <c r="CH5" s="409"/>
      <c r="CI5" s="409"/>
      <c r="CJ5" s="409"/>
      <c r="CK5" s="409"/>
      <c r="CL5" s="409"/>
      <c r="CM5" s="409"/>
      <c r="CN5" s="409"/>
      <c r="CO5" s="409"/>
      <c r="CP5" s="409"/>
      <c r="CQ5" s="409"/>
      <c r="CR5" s="409"/>
      <c r="CS5" s="409"/>
      <c r="CT5" s="409"/>
      <c r="CU5" s="409"/>
      <c r="CV5" s="409"/>
      <c r="CW5" s="409"/>
      <c r="CX5" s="409"/>
      <c r="CY5" s="409"/>
      <c r="CZ5" s="409"/>
      <c r="DA5" s="409"/>
      <c r="DB5" s="409"/>
      <c r="DC5" s="409"/>
      <c r="DD5" s="409"/>
    </row>
    <row r="6" spans="1:108" ht="15" x14ac:dyDescent="0.25"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90"/>
      <c r="AI6" s="103"/>
      <c r="AJ6" s="104"/>
      <c r="AK6" s="102" t="s">
        <v>107</v>
      </c>
      <c r="AL6" s="290"/>
      <c r="AM6" s="122" t="s">
        <v>107</v>
      </c>
      <c r="AN6" s="104"/>
      <c r="AO6" s="92" t="s">
        <v>107</v>
      </c>
      <c r="AP6" s="164"/>
      <c r="AQ6" s="171"/>
      <c r="AR6" s="150"/>
      <c r="AS6" s="198"/>
      <c r="AT6" s="164"/>
      <c r="AU6" s="102" t="s">
        <v>107</v>
      </c>
      <c r="AV6" s="150"/>
      <c r="AW6" s="172"/>
      <c r="AX6" s="173"/>
      <c r="AY6" s="174"/>
      <c r="AZ6" s="150"/>
      <c r="BA6" s="79"/>
      <c r="BB6" s="77"/>
      <c r="BC6" s="81"/>
      <c r="BD6" s="77"/>
      <c r="BE6" s="81"/>
      <c r="BF6" s="77"/>
      <c r="BG6" s="81"/>
      <c r="BH6" s="77"/>
      <c r="BI6" s="82"/>
      <c r="BK6" s="71"/>
      <c r="BL6" s="71"/>
      <c r="BM6" s="71"/>
    </row>
    <row r="7" spans="1:108" ht="15" x14ac:dyDescent="0.25"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">
        <v>166</v>
      </c>
      <c r="AJ7" s="290"/>
      <c r="AK7" s="107" t="s">
        <v>118</v>
      </c>
      <c r="AL7" s="290"/>
      <c r="AM7" s="106" t="s">
        <v>118</v>
      </c>
      <c r="AN7" s="290"/>
      <c r="AO7" s="95" t="s">
        <v>118</v>
      </c>
      <c r="AP7" s="286"/>
      <c r="AQ7" s="184" t="s">
        <v>105</v>
      </c>
      <c r="AR7" s="150"/>
      <c r="AS7" s="183" t="s">
        <v>435</v>
      </c>
      <c r="AT7" s="286"/>
      <c r="AU7" s="107" t="s">
        <v>118</v>
      </c>
      <c r="AV7" s="150"/>
      <c r="AW7" s="155"/>
      <c r="AX7" s="324"/>
      <c r="AY7" s="156"/>
      <c r="AZ7" s="150"/>
      <c r="BA7" s="78" t="s">
        <v>24</v>
      </c>
      <c r="BB7" s="76"/>
      <c r="BC7" s="83" t="s">
        <v>24</v>
      </c>
      <c r="BD7" s="76"/>
      <c r="BE7" s="83" t="s">
        <v>24</v>
      </c>
      <c r="BF7" s="76"/>
      <c r="BG7" s="83" t="s">
        <v>24</v>
      </c>
      <c r="BH7" s="76"/>
      <c r="BI7" s="84" t="s">
        <v>24</v>
      </c>
      <c r="BK7" s="71"/>
      <c r="BL7" s="71"/>
      <c r="BM7" s="71"/>
    </row>
    <row r="8" spans="1:108" ht="14.25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">
        <v>432</v>
      </c>
      <c r="AJ8" s="290"/>
      <c r="AK8" s="107" t="s">
        <v>119</v>
      </c>
      <c r="AL8" s="290"/>
      <c r="AM8" s="106" t="s">
        <v>119</v>
      </c>
      <c r="AN8" s="290"/>
      <c r="AO8" s="95" t="s">
        <v>119</v>
      </c>
      <c r="AP8" s="286"/>
      <c r="AQ8" s="184" t="s">
        <v>433</v>
      </c>
      <c r="AR8" s="150"/>
      <c r="AS8" s="183" t="s">
        <v>436</v>
      </c>
      <c r="AT8" s="286"/>
      <c r="AU8" s="107" t="s">
        <v>119</v>
      </c>
      <c r="AV8" s="150"/>
      <c r="AW8" s="315" t="s">
        <v>106</v>
      </c>
      <c r="AX8" s="143"/>
      <c r="AY8" s="316" t="s">
        <v>107</v>
      </c>
      <c r="AZ8" s="150"/>
      <c r="BA8" s="78" t="s">
        <v>83</v>
      </c>
      <c r="BB8" s="76"/>
      <c r="BC8" s="83" t="s">
        <v>84</v>
      </c>
      <c r="BD8" s="76"/>
      <c r="BE8" s="83" t="s">
        <v>85</v>
      </c>
      <c r="BF8" s="76"/>
      <c r="BG8" s="83" t="s">
        <v>86</v>
      </c>
      <c r="BH8" s="76"/>
      <c r="BI8" s="84" t="s">
        <v>87</v>
      </c>
      <c r="BK8" s="71"/>
      <c r="BL8" s="71"/>
      <c r="BM8" s="71"/>
    </row>
    <row r="9" spans="1:108" ht="14.25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">
        <v>93</v>
      </c>
      <c r="AJ9" s="290"/>
      <c r="AK9" s="107" t="s">
        <v>99</v>
      </c>
      <c r="AL9" s="290"/>
      <c r="AM9" s="106" t="s">
        <v>93</v>
      </c>
      <c r="AN9" s="290"/>
      <c r="AO9" s="95" t="s">
        <v>99</v>
      </c>
      <c r="AP9" s="286"/>
      <c r="AQ9" s="184" t="s">
        <v>434</v>
      </c>
      <c r="AR9" s="150"/>
      <c r="AS9" s="106" t="s">
        <v>93</v>
      </c>
      <c r="AT9" s="286"/>
      <c r="AU9" s="107" t="s">
        <v>99</v>
      </c>
      <c r="AV9" s="150"/>
      <c r="AW9" s="296"/>
      <c r="AX9" s="295"/>
      <c r="AY9" s="297"/>
      <c r="AZ9" s="150"/>
      <c r="BA9" s="78" t="s">
        <v>89</v>
      </c>
      <c r="BB9" s="76"/>
      <c r="BC9" s="83" t="s">
        <v>90</v>
      </c>
      <c r="BD9" s="76"/>
      <c r="BE9" s="83" t="s">
        <v>89</v>
      </c>
      <c r="BF9" s="76"/>
      <c r="BG9" s="83" t="s">
        <v>89</v>
      </c>
      <c r="BH9" s="76"/>
      <c r="BI9" s="84" t="s">
        <v>89</v>
      </c>
      <c r="BK9" s="71"/>
      <c r="BL9" s="71"/>
      <c r="BM9" s="71"/>
    </row>
    <row r="10" spans="1:108" ht="15" thickBot="1" x14ac:dyDescent="0.25"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90"/>
      <c r="AI10" s="120"/>
      <c r="AJ10" s="289"/>
      <c r="AK10" s="121"/>
      <c r="AL10" s="290"/>
      <c r="AM10" s="120"/>
      <c r="AN10" s="289"/>
      <c r="AO10" s="289"/>
      <c r="AP10" s="287"/>
      <c r="AQ10" s="200"/>
      <c r="AR10" s="150"/>
      <c r="AS10" s="199"/>
      <c r="AT10" s="287"/>
      <c r="AU10" s="200"/>
      <c r="AV10" s="150"/>
      <c r="AW10" s="146"/>
      <c r="AX10" s="144"/>
      <c r="AY10" s="145"/>
      <c r="AZ10" s="150"/>
      <c r="BA10" s="80"/>
      <c r="BB10" s="85"/>
      <c r="BC10" s="85"/>
      <c r="BD10" s="85"/>
      <c r="BE10" s="85"/>
      <c r="BF10" s="85"/>
      <c r="BG10" s="85"/>
      <c r="BH10" s="85"/>
      <c r="BI10" s="86"/>
      <c r="BK10" s="71"/>
      <c r="BL10" s="71"/>
      <c r="BM10" s="71"/>
    </row>
    <row r="11" spans="1:108" x14ac:dyDescent="0.2">
      <c r="A11" s="9" t="s">
        <v>49</v>
      </c>
      <c r="C11" s="18">
        <f>86+79</f>
        <v>165</v>
      </c>
      <c r="D11" s="19"/>
      <c r="E11" s="18">
        <f>51+54</f>
        <v>105</v>
      </c>
      <c r="F11" s="19"/>
      <c r="G11" s="18">
        <f>1+2</f>
        <v>3</v>
      </c>
      <c r="H11" s="19"/>
      <c r="I11" s="18">
        <f>1+1</f>
        <v>2</v>
      </c>
      <c r="J11" s="19"/>
      <c r="K11" s="18">
        <v>0</v>
      </c>
      <c r="L11" s="19"/>
      <c r="M11" s="18">
        <v>2</v>
      </c>
      <c r="N11" s="19"/>
      <c r="O11" s="18">
        <v>0</v>
      </c>
      <c r="P11" s="19"/>
      <c r="Q11" s="18">
        <v>0</v>
      </c>
      <c r="R11" s="19"/>
      <c r="S11" s="18">
        <f>69+66</f>
        <v>135</v>
      </c>
      <c r="T11" s="19"/>
      <c r="U11" s="18">
        <f>70+71</f>
        <v>141</v>
      </c>
      <c r="V11" s="19"/>
      <c r="W11" s="18">
        <v>1</v>
      </c>
      <c r="X11" s="19"/>
      <c r="Y11" s="18">
        <v>1</v>
      </c>
      <c r="Z11" s="19"/>
      <c r="AA11" s="18">
        <v>1</v>
      </c>
      <c r="AB11" s="19"/>
      <c r="AC11" s="18">
        <v>0</v>
      </c>
      <c r="AD11" s="19"/>
      <c r="AE11" s="18">
        <f>89+85</f>
        <v>174</v>
      </c>
      <c r="AF11" s="19"/>
      <c r="AG11" s="18">
        <f>48+51</f>
        <v>99</v>
      </c>
      <c r="AH11" s="19"/>
      <c r="AI11" s="18">
        <f>99+107</f>
        <v>206</v>
      </c>
      <c r="AJ11" s="19"/>
      <c r="AK11" s="18"/>
      <c r="AL11" s="19"/>
      <c r="AM11" s="18"/>
      <c r="AN11" s="19"/>
      <c r="AO11" s="18"/>
      <c r="AP11" s="19"/>
      <c r="AQ11" s="18">
        <f>65+85</f>
        <v>150</v>
      </c>
      <c r="AR11" s="19"/>
      <c r="AS11" s="18"/>
      <c r="AT11" s="19"/>
      <c r="AU11" s="18"/>
      <c r="AV11" s="19"/>
      <c r="AW11" s="18">
        <f>51+53</f>
        <v>104</v>
      </c>
      <c r="AX11" s="19"/>
      <c r="AY11" s="18">
        <f>81+68</f>
        <v>149</v>
      </c>
      <c r="AZ11" s="19"/>
      <c r="BA11" s="18">
        <f>141+141</f>
        <v>282</v>
      </c>
      <c r="BB11" s="19"/>
      <c r="BC11" s="18">
        <v>45</v>
      </c>
      <c r="BD11" s="33"/>
      <c r="BE11" s="18">
        <v>0</v>
      </c>
      <c r="BF11" s="33"/>
      <c r="BG11" s="18"/>
      <c r="BH11" s="33"/>
      <c r="BI11" s="18">
        <f>+SUM(BA11:BG11)</f>
        <v>327</v>
      </c>
      <c r="BK11" s="19"/>
      <c r="BM11" s="19"/>
    </row>
    <row r="12" spans="1:108" x14ac:dyDescent="0.2">
      <c r="A12" s="9" t="s">
        <v>50</v>
      </c>
      <c r="C12" s="16">
        <f>93+101</f>
        <v>194</v>
      </c>
      <c r="D12" s="35"/>
      <c r="E12" s="16">
        <f>36+31</f>
        <v>67</v>
      </c>
      <c r="F12" s="19"/>
      <c r="G12" s="16">
        <v>0</v>
      </c>
      <c r="H12" s="19"/>
      <c r="I12" s="16">
        <v>0</v>
      </c>
      <c r="J12" s="19"/>
      <c r="K12" s="16">
        <v>0</v>
      </c>
      <c r="L12" s="19"/>
      <c r="M12" s="16">
        <f>1+1</f>
        <v>2</v>
      </c>
      <c r="N12" s="19"/>
      <c r="O12" s="16">
        <v>0</v>
      </c>
      <c r="P12" s="19"/>
      <c r="Q12" s="16">
        <v>0</v>
      </c>
      <c r="R12" s="19"/>
      <c r="S12" s="16">
        <f>83+84</f>
        <v>167</v>
      </c>
      <c r="T12" s="19"/>
      <c r="U12" s="16">
        <f>49+47</f>
        <v>96</v>
      </c>
      <c r="V12" s="19"/>
      <c r="W12" s="16">
        <v>1</v>
      </c>
      <c r="X12" s="19"/>
      <c r="Y12" s="16">
        <v>0</v>
      </c>
      <c r="Z12" s="19"/>
      <c r="AA12" s="16">
        <f>1+1</f>
        <v>2</v>
      </c>
      <c r="AB12" s="19"/>
      <c r="AC12" s="16">
        <v>0</v>
      </c>
      <c r="AD12" s="19"/>
      <c r="AE12" s="16">
        <f>96+97</f>
        <v>193</v>
      </c>
      <c r="AF12" s="19"/>
      <c r="AG12" s="16">
        <f>34+34</f>
        <v>68</v>
      </c>
      <c r="AH12" s="19"/>
      <c r="AI12" s="16"/>
      <c r="AJ12" s="19"/>
      <c r="AK12" s="16"/>
      <c r="AL12" s="19"/>
      <c r="AM12" s="16"/>
      <c r="AN12" s="19"/>
      <c r="AO12" s="16"/>
      <c r="AP12" s="19"/>
      <c r="AQ12" s="16"/>
      <c r="AR12" s="19"/>
      <c r="AS12" s="16">
        <f>108+110</f>
        <v>218</v>
      </c>
      <c r="AT12" s="19"/>
      <c r="AU12" s="60" t="s">
        <v>108</v>
      </c>
      <c r="AV12" s="19"/>
      <c r="AW12" s="16">
        <f>47+53</f>
        <v>100</v>
      </c>
      <c r="AX12" s="19"/>
      <c r="AY12" s="16">
        <f>77+68</f>
        <v>145</v>
      </c>
      <c r="AZ12" s="19"/>
      <c r="BA12" s="16">
        <f>135+135</f>
        <v>270</v>
      </c>
      <c r="BB12" s="19"/>
      <c r="BC12" s="16">
        <v>15</v>
      </c>
      <c r="BD12" s="33"/>
      <c r="BE12" s="16">
        <v>13</v>
      </c>
      <c r="BF12" s="33"/>
      <c r="BG12" s="16"/>
      <c r="BH12" s="33"/>
      <c r="BI12" s="18">
        <f>+SUM(BA12:BG12)</f>
        <v>298</v>
      </c>
      <c r="BK12" s="19"/>
      <c r="BM12" s="19"/>
    </row>
    <row r="13" spans="1:108" ht="13.5" thickBot="1" x14ac:dyDescent="0.25"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33"/>
      <c r="BE13" s="19"/>
      <c r="BF13" s="33"/>
      <c r="BG13" s="19"/>
      <c r="BH13" s="33"/>
      <c r="BI13" s="19"/>
      <c r="BK13" s="19"/>
      <c r="BM13" s="19"/>
    </row>
    <row r="14" spans="1:108" s="48" customFormat="1" ht="13.5" thickBot="1" x14ac:dyDescent="0.25">
      <c r="A14" s="3" t="s">
        <v>24</v>
      </c>
      <c r="C14" s="41">
        <f>+SUM(C11:C12)</f>
        <v>359</v>
      </c>
      <c r="D14" s="57"/>
      <c r="E14" s="41">
        <f>+SUM(E11:E12)</f>
        <v>172</v>
      </c>
      <c r="F14" s="57"/>
      <c r="G14" s="41">
        <f>+SUM(G11:G12)</f>
        <v>3</v>
      </c>
      <c r="H14" s="57"/>
      <c r="I14" s="41">
        <f>+SUM(I11:I12)</f>
        <v>2</v>
      </c>
      <c r="J14" s="57"/>
      <c r="K14" s="41">
        <f>+SUM(K11:K12)</f>
        <v>0</v>
      </c>
      <c r="L14" s="57"/>
      <c r="M14" s="41">
        <f>+SUM(M11:M12)</f>
        <v>4</v>
      </c>
      <c r="N14" s="57"/>
      <c r="O14" s="41">
        <f>+SUM(O11:O12)</f>
        <v>0</v>
      </c>
      <c r="P14" s="57"/>
      <c r="Q14" s="41">
        <f>+SUM(Q11:Q12)</f>
        <v>0</v>
      </c>
      <c r="R14" s="57"/>
      <c r="S14" s="41">
        <f>+SUM(S11:S12)</f>
        <v>302</v>
      </c>
      <c r="T14" s="57"/>
      <c r="U14" s="41">
        <f>+SUM(U11:U12)</f>
        <v>237</v>
      </c>
      <c r="V14" s="57"/>
      <c r="W14" s="41">
        <f>+SUM(W11:W12)</f>
        <v>2</v>
      </c>
      <c r="X14" s="57"/>
      <c r="Y14" s="41">
        <f>+SUM(Y11:Y12)</f>
        <v>1</v>
      </c>
      <c r="Z14" s="57"/>
      <c r="AA14" s="41">
        <f>+SUM(AA11:AA12)</f>
        <v>3</v>
      </c>
      <c r="AB14" s="57"/>
      <c r="AC14" s="41">
        <f>+SUM(AC11:AC12)</f>
        <v>0</v>
      </c>
      <c r="AD14" s="57"/>
      <c r="AE14" s="41">
        <f>+SUM(AE11:AE12)</f>
        <v>367</v>
      </c>
      <c r="AF14" s="57"/>
      <c r="AG14" s="41">
        <f>+SUM(AG11:AG12)</f>
        <v>167</v>
      </c>
      <c r="AH14" s="57"/>
      <c r="AI14" s="41">
        <f>+SUM(AI11:AI12)</f>
        <v>206</v>
      </c>
      <c r="AJ14" s="57"/>
      <c r="AK14" s="41">
        <f>+SUM(AK11:AK12)</f>
        <v>0</v>
      </c>
      <c r="AL14" s="57"/>
      <c r="AM14" s="41">
        <f>+SUM(AM11:AM12)</f>
        <v>0</v>
      </c>
      <c r="AN14" s="57"/>
      <c r="AO14" s="41">
        <f>+SUM(AO11:AO12)</f>
        <v>0</v>
      </c>
      <c r="AP14" s="57"/>
      <c r="AQ14" s="41">
        <f>+SUM(AQ11:AQ12)</f>
        <v>150</v>
      </c>
      <c r="AR14" s="57"/>
      <c r="AS14" s="41">
        <f>+SUM(AS11:AS12)</f>
        <v>218</v>
      </c>
      <c r="AT14" s="57"/>
      <c r="AU14" s="41">
        <f>+SUM(AU11:AU12)</f>
        <v>0</v>
      </c>
      <c r="AV14" s="57"/>
      <c r="AW14" s="41">
        <f>+SUM(AW11:AW12)</f>
        <v>204</v>
      </c>
      <c r="AX14" s="57"/>
      <c r="AY14" s="41">
        <f>+SUM(AY11:AY12)</f>
        <v>294</v>
      </c>
      <c r="AZ14" s="57"/>
      <c r="BA14" s="41">
        <f>+SUM(BA11:BA12)</f>
        <v>552</v>
      </c>
      <c r="BB14" s="57"/>
      <c r="BC14" s="41">
        <f>+SUM(BC11:BC12)</f>
        <v>60</v>
      </c>
      <c r="BD14" s="43"/>
      <c r="BE14" s="41">
        <f>+SUM(BE11:BE12)</f>
        <v>13</v>
      </c>
      <c r="BF14" s="43"/>
      <c r="BG14" s="41">
        <f>+SUM(BG11:BG12)</f>
        <v>0</v>
      </c>
      <c r="BH14" s="43"/>
      <c r="BI14" s="41">
        <f>+SUM(BI11:BI12)</f>
        <v>625</v>
      </c>
      <c r="BJ14" s="42"/>
      <c r="BK14" s="57"/>
      <c r="BL14" s="43"/>
      <c r="BM14" s="57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</row>
    <row r="15" spans="1:108" x14ac:dyDescent="0.2">
      <c r="A15" s="36" t="s">
        <v>73</v>
      </c>
      <c r="C15" s="19">
        <f>22+12</f>
        <v>34</v>
      </c>
      <c r="D15" s="19"/>
      <c r="E15" s="19">
        <f>23+3</f>
        <v>26</v>
      </c>
      <c r="F15" s="19"/>
      <c r="G15" s="19">
        <v>0</v>
      </c>
      <c r="H15" s="19"/>
      <c r="I15" s="19">
        <v>0</v>
      </c>
      <c r="J15" s="19"/>
      <c r="K15" s="19">
        <v>0</v>
      </c>
      <c r="L15" s="19"/>
      <c r="M15" s="19">
        <v>0</v>
      </c>
      <c r="N15" s="19"/>
      <c r="O15" s="19">
        <v>0</v>
      </c>
      <c r="P15" s="19"/>
      <c r="Q15" s="19">
        <v>0</v>
      </c>
      <c r="R15" s="19"/>
      <c r="S15" s="19">
        <f>17+9</f>
        <v>26</v>
      </c>
      <c r="T15" s="19"/>
      <c r="U15" s="19">
        <f>26+6</f>
        <v>32</v>
      </c>
      <c r="V15" s="19"/>
      <c r="W15" s="19">
        <v>0</v>
      </c>
      <c r="X15" s="19"/>
      <c r="Y15" s="19">
        <v>0</v>
      </c>
      <c r="Z15" s="19"/>
      <c r="AA15" s="19">
        <v>0</v>
      </c>
      <c r="AB15" s="19"/>
      <c r="AC15" s="19">
        <v>0</v>
      </c>
      <c r="AD15" s="19"/>
      <c r="AE15" s="19">
        <f>24+12</f>
        <v>36</v>
      </c>
      <c r="AF15" s="19"/>
      <c r="AG15" s="19">
        <f>21+3</f>
        <v>24</v>
      </c>
      <c r="AH15" s="19"/>
      <c r="AI15" s="19">
        <f>21</f>
        <v>21</v>
      </c>
      <c r="AJ15" s="19"/>
      <c r="AK15" s="19"/>
      <c r="AL15" s="19"/>
      <c r="AM15" s="19"/>
      <c r="AN15" s="19"/>
      <c r="AO15" s="19"/>
      <c r="AP15" s="19"/>
      <c r="AQ15" s="19">
        <v>21</v>
      </c>
      <c r="AR15" s="19"/>
      <c r="AS15" s="19">
        <v>12</v>
      </c>
      <c r="AT15" s="19"/>
      <c r="AU15" s="19"/>
      <c r="AV15" s="19"/>
      <c r="AW15" s="19">
        <f>22+6</f>
        <v>28</v>
      </c>
      <c r="AX15" s="19"/>
      <c r="AY15" s="19">
        <f>19+7</f>
        <v>26</v>
      </c>
      <c r="AZ15" s="19"/>
      <c r="BA15" s="19"/>
      <c r="BC15" s="19"/>
      <c r="BE15" s="19"/>
      <c r="BK15" s="19"/>
      <c r="BM15" s="19"/>
    </row>
    <row r="16" spans="1:108" s="10" customFormat="1" x14ac:dyDescent="0.2">
      <c r="A16" s="4" t="s">
        <v>25</v>
      </c>
      <c r="C16" s="19">
        <v>9</v>
      </c>
      <c r="D16" s="19"/>
      <c r="E16" s="19">
        <v>2</v>
      </c>
      <c r="F16" s="19"/>
      <c r="G16" s="19">
        <v>0</v>
      </c>
      <c r="H16" s="19"/>
      <c r="I16" s="19">
        <v>1</v>
      </c>
      <c r="J16" s="19"/>
      <c r="K16" s="19">
        <v>0</v>
      </c>
      <c r="L16" s="19"/>
      <c r="M16" s="19">
        <v>0</v>
      </c>
      <c r="N16" s="19"/>
      <c r="O16" s="19">
        <v>0</v>
      </c>
      <c r="P16" s="19"/>
      <c r="Q16" s="19">
        <v>0</v>
      </c>
      <c r="R16" s="19"/>
      <c r="S16" s="19">
        <v>9</v>
      </c>
      <c r="T16" s="19"/>
      <c r="U16" s="19">
        <v>3</v>
      </c>
      <c r="V16" s="19"/>
      <c r="W16" s="19">
        <v>0</v>
      </c>
      <c r="X16" s="19"/>
      <c r="Y16" s="19">
        <v>0</v>
      </c>
      <c r="Z16" s="19"/>
      <c r="AA16" s="19">
        <v>0</v>
      </c>
      <c r="AB16" s="19"/>
      <c r="AC16" s="19">
        <v>0</v>
      </c>
      <c r="AD16" s="19"/>
      <c r="AE16" s="19">
        <v>10</v>
      </c>
      <c r="AF16" s="19"/>
      <c r="AG16" s="19">
        <v>3</v>
      </c>
      <c r="AH16" s="19"/>
      <c r="AI16" s="19">
        <v>0</v>
      </c>
      <c r="AJ16" s="19"/>
      <c r="AK16" s="19"/>
      <c r="AL16" s="19"/>
      <c r="AM16" s="19"/>
      <c r="AN16" s="19"/>
      <c r="AO16" s="19"/>
      <c r="AP16" s="19"/>
      <c r="AQ16" s="19">
        <v>0</v>
      </c>
      <c r="AR16" s="19"/>
      <c r="AS16" s="19">
        <v>12</v>
      </c>
      <c r="AT16" s="19"/>
      <c r="AU16" s="19"/>
      <c r="AV16" s="19"/>
      <c r="AW16" s="19">
        <v>3</v>
      </c>
      <c r="AX16" s="19"/>
      <c r="AY16" s="19">
        <v>8</v>
      </c>
      <c r="AZ16" s="19"/>
      <c r="BA16" s="19"/>
      <c r="BB16" s="1"/>
      <c r="BC16" s="19"/>
      <c r="BD16" s="1"/>
      <c r="BE16" s="19"/>
      <c r="BF16" s="1"/>
      <c r="BJ16" s="20"/>
      <c r="BK16" s="19"/>
      <c r="BL16" s="33"/>
      <c r="BM16" s="19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</row>
    <row r="17" spans="1:108" ht="13.5" thickBot="1" x14ac:dyDescent="0.25">
      <c r="A17" s="4" t="s">
        <v>79</v>
      </c>
      <c r="C17" s="19">
        <v>0</v>
      </c>
      <c r="D17" s="19"/>
      <c r="E17" s="19">
        <v>0</v>
      </c>
      <c r="F17" s="19"/>
      <c r="G17" s="19">
        <v>0</v>
      </c>
      <c r="H17" s="19"/>
      <c r="I17" s="19">
        <v>0</v>
      </c>
      <c r="J17" s="19"/>
      <c r="K17" s="19">
        <v>0</v>
      </c>
      <c r="L17" s="19"/>
      <c r="M17" s="19">
        <v>0</v>
      </c>
      <c r="N17" s="19"/>
      <c r="O17" s="19">
        <v>0</v>
      </c>
      <c r="P17" s="19"/>
      <c r="Q17" s="19">
        <v>0</v>
      </c>
      <c r="R17" s="19"/>
      <c r="S17" s="19">
        <v>0</v>
      </c>
      <c r="T17" s="19"/>
      <c r="U17" s="19">
        <v>0</v>
      </c>
      <c r="V17" s="19"/>
      <c r="W17" s="19">
        <v>0</v>
      </c>
      <c r="X17" s="19"/>
      <c r="Y17" s="19">
        <v>0</v>
      </c>
      <c r="Z17" s="19"/>
      <c r="AA17" s="19">
        <v>0</v>
      </c>
      <c r="AB17" s="19"/>
      <c r="AC17" s="19">
        <v>0</v>
      </c>
      <c r="AD17" s="19"/>
      <c r="AE17" s="19">
        <v>0</v>
      </c>
      <c r="AF17" s="19"/>
      <c r="AG17" s="19">
        <v>0</v>
      </c>
      <c r="AH17" s="19"/>
      <c r="AI17" s="19">
        <v>0</v>
      </c>
      <c r="AJ17" s="19"/>
      <c r="AK17" s="19"/>
      <c r="AL17" s="19"/>
      <c r="AM17" s="19"/>
      <c r="AN17" s="19"/>
      <c r="AO17" s="19"/>
      <c r="AP17" s="19"/>
      <c r="AQ17" s="19">
        <v>0</v>
      </c>
      <c r="AR17" s="19"/>
      <c r="AS17" s="19">
        <v>0</v>
      </c>
      <c r="AT17" s="19"/>
      <c r="AU17" s="19"/>
      <c r="AV17" s="19"/>
      <c r="AW17" s="19">
        <v>0</v>
      </c>
      <c r="AX17" s="19"/>
      <c r="AY17" s="19">
        <v>0</v>
      </c>
      <c r="AZ17" s="19"/>
      <c r="BA17" s="19"/>
      <c r="BC17" s="19"/>
      <c r="BE17" s="19"/>
      <c r="BK17" s="19"/>
      <c r="BM17" s="19"/>
    </row>
    <row r="18" spans="1:108" s="48" customFormat="1" ht="13.5" thickBot="1" x14ac:dyDescent="0.25">
      <c r="A18" s="3" t="s">
        <v>26</v>
      </c>
      <c r="C18" s="41">
        <f>+SUM(C14:C17)</f>
        <v>402</v>
      </c>
      <c r="D18" s="57"/>
      <c r="E18" s="41">
        <f>+SUM(E14:E17)</f>
        <v>200</v>
      </c>
      <c r="F18" s="57"/>
      <c r="G18" s="41">
        <f>+SUM(G14:G17)</f>
        <v>3</v>
      </c>
      <c r="H18" s="57"/>
      <c r="I18" s="41">
        <f>+SUM(I14:I17)</f>
        <v>3</v>
      </c>
      <c r="J18" s="57"/>
      <c r="K18" s="41">
        <f>+SUM(K14:K17)</f>
        <v>0</v>
      </c>
      <c r="L18" s="57"/>
      <c r="M18" s="41">
        <f>+SUM(M14:M17)</f>
        <v>4</v>
      </c>
      <c r="N18" s="57"/>
      <c r="O18" s="41">
        <f>+SUM(O14:O17)</f>
        <v>0</v>
      </c>
      <c r="P18" s="57"/>
      <c r="Q18" s="41">
        <f>+SUM(Q14:Q17)</f>
        <v>0</v>
      </c>
      <c r="R18" s="57"/>
      <c r="S18" s="41">
        <f>+SUM(S14:S17)</f>
        <v>337</v>
      </c>
      <c r="T18" s="57"/>
      <c r="U18" s="41">
        <f>+SUM(U14:U17)</f>
        <v>272</v>
      </c>
      <c r="V18" s="57"/>
      <c r="W18" s="41">
        <f>+SUM(W14:W17)</f>
        <v>2</v>
      </c>
      <c r="X18" s="57"/>
      <c r="Y18" s="41">
        <f>+SUM(Y14:Y17)</f>
        <v>1</v>
      </c>
      <c r="Z18" s="57"/>
      <c r="AA18" s="41">
        <f>+SUM(AA14:AA17)</f>
        <v>3</v>
      </c>
      <c r="AB18" s="57"/>
      <c r="AC18" s="41">
        <f>+SUM(AC14:AC17)</f>
        <v>0</v>
      </c>
      <c r="AD18" s="57"/>
      <c r="AE18" s="41">
        <f>+SUM(AE14:AE17)</f>
        <v>413</v>
      </c>
      <c r="AF18" s="57"/>
      <c r="AG18" s="41">
        <f>+SUM(AG14:AG17)</f>
        <v>194</v>
      </c>
      <c r="AH18" s="57"/>
      <c r="AI18" s="41">
        <f>+SUM(AI14:AI17)</f>
        <v>227</v>
      </c>
      <c r="AJ18" s="57"/>
      <c r="AK18" s="41">
        <f>+SUM(AK14:AK17)</f>
        <v>0</v>
      </c>
      <c r="AL18" s="57"/>
      <c r="AM18" s="41">
        <f>+SUM(AM14:AM17)</f>
        <v>0</v>
      </c>
      <c r="AN18" s="57"/>
      <c r="AO18" s="41">
        <f>+SUM(AO14:AO17)</f>
        <v>0</v>
      </c>
      <c r="AP18" s="57"/>
      <c r="AQ18" s="41">
        <f>+SUM(AQ14:AQ17)</f>
        <v>171</v>
      </c>
      <c r="AR18" s="57"/>
      <c r="AS18" s="41">
        <f>+SUM(AS14:AS17)</f>
        <v>242</v>
      </c>
      <c r="AT18" s="57"/>
      <c r="AU18" s="41">
        <f>+SUM(AU14:AU17)</f>
        <v>0</v>
      </c>
      <c r="AV18" s="57"/>
      <c r="AW18" s="41">
        <f>+SUM(AW14:AW17)</f>
        <v>235</v>
      </c>
      <c r="AX18" s="57"/>
      <c r="AY18" s="41">
        <f>+SUM(AY14:AY17)</f>
        <v>328</v>
      </c>
      <c r="AZ18" s="57"/>
      <c r="BA18" s="42"/>
      <c r="BB18" s="44"/>
      <c r="BC18" s="42"/>
      <c r="BD18" s="44"/>
      <c r="BE18" s="42"/>
      <c r="BF18" s="40"/>
      <c r="BJ18" s="42"/>
      <c r="BK18" s="57"/>
      <c r="BL18" s="43"/>
      <c r="BM18" s="57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</row>
    <row r="19" spans="1:108" x14ac:dyDescent="0.2">
      <c r="A19" s="3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K19" s="19"/>
      <c r="BM19" s="19"/>
    </row>
    <row r="20" spans="1:108" s="10" customFormat="1" x14ac:dyDescent="0.2">
      <c r="A20" s="9"/>
      <c r="BA20" s="1"/>
      <c r="BB20" s="1"/>
      <c r="BC20" s="1"/>
      <c r="BD20" s="1"/>
      <c r="BE20" s="1"/>
      <c r="BF20" s="1"/>
      <c r="BG20" s="1"/>
      <c r="BH20" s="1"/>
      <c r="BI20" s="1"/>
      <c r="BJ20" s="20"/>
      <c r="BK20" s="19"/>
      <c r="BL20" s="33"/>
      <c r="BM20" s="19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</row>
    <row r="21" spans="1:108" x14ac:dyDescent="0.2"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K21" s="19"/>
      <c r="BM21" s="19"/>
    </row>
    <row r="22" spans="1:108" x14ac:dyDescent="0.2"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K22" s="20"/>
      <c r="BM22" s="20"/>
    </row>
    <row r="23" spans="1:108" x14ac:dyDescent="0.2">
      <c r="BK23" s="19"/>
      <c r="BM23" s="19"/>
    </row>
    <row r="24" spans="1:108" x14ac:dyDescent="0.2">
      <c r="BK24" s="19"/>
      <c r="BM24" s="19"/>
    </row>
    <row r="25" spans="1:108" x14ac:dyDescent="0.2">
      <c r="BK25" s="19"/>
      <c r="BM25" s="19"/>
    </row>
    <row r="26" spans="1:108" x14ac:dyDescent="0.2">
      <c r="BK26" s="20"/>
      <c r="BM26" s="20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W13" sqref="W13:AC15"/>
      <colBreaks count="2" manualBreakCount="2">
        <brk id="25" max="1048575" man="1"/>
        <brk id="46" max="12" man="1"/>
      </colBreaks>
      <pageMargins left="0.75" right="0.75" top="1" bottom="1" header="0.5" footer="0.5"/>
      <pageSetup paperSize="5" scale="75" orientation="landscape" r:id="rId1"/>
      <headerFooter alignWithMargins="0">
        <oddHeader xml:space="preserve">&amp;C&amp;"Arial,Bold"&amp;11City of Port Republic
General Election - November 7, 2017
Prepared by the Office of Edward P. McGettigan, Atlantic County Clerk&amp;10
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P6" activePane="bottomRight" state="frozen"/>
      <selection pane="bottomRight" activeCell="AG8" sqref="AG8"/>
      <colBreaks count="2" manualBreakCount="2">
        <brk id="25" max="1048575" man="1"/>
        <brk id="46" max="12" man="1"/>
      </colBreaks>
      <pageMargins left="0.75" right="0.75" top="1" bottom="1" header="0.5" footer="0.5"/>
      <pageSetup paperSize="5" scale="75" orientation="landscape" r:id="rId2"/>
      <headerFooter alignWithMargins="0">
        <oddHeader xml:space="preserve">&amp;C&amp;"Arial,Bold"&amp;11City of Port Republic
General Election - November 3, 2015
Prepared by the Office of Edward P. McGettigan, Atlantic County Clerk&amp;10
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P6" activePane="bottomRight" state="frozen"/>
      <selection pane="bottomRight" activeCell="AG8" sqref="AG8"/>
      <colBreaks count="2" manualBreakCount="2">
        <brk id="25" max="1048575" man="1"/>
        <brk id="46" max="12" man="1"/>
      </colBreaks>
      <pageMargins left="0.75" right="0.75" top="1" bottom="1" header="0.5" footer="0.5"/>
      <pageSetup paperSize="5" scale="75" orientation="landscape" r:id="rId3"/>
      <headerFooter alignWithMargins="0">
        <oddHeader xml:space="preserve">&amp;C&amp;"Arial,Bold"&amp;11City of Port Republic
General Election - November 3, 2015
Prepared by the Office of Edward P. McGettigan, Atlantic County Clerk&amp;10
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P6" activePane="bottomRight" state="frozen"/>
      <selection pane="bottomRight" activeCell="AG8" sqref="AG8"/>
      <colBreaks count="2" manualBreakCount="2">
        <brk id="25" max="1048575" man="1"/>
        <brk id="46" max="12" man="1"/>
      </colBreaks>
      <pageMargins left="0.75" right="0.75" top="1" bottom="1" header="0.5" footer="0.5"/>
      <pageSetup paperSize="5" scale="75" orientation="landscape" r:id="rId4"/>
      <headerFooter alignWithMargins="0">
        <oddHeader xml:space="preserve">&amp;C&amp;"Arial,Bold"&amp;11City of Port Republic
General Election - November 3, 2015
Prepared by the Office of Edward P. McGettigan, Atlantic County Clerk&amp;10
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P6" activePane="bottomRight" state="frozen"/>
      <selection pane="bottomRight" activeCell="AG8" sqref="AG8"/>
      <colBreaks count="2" manualBreakCount="2">
        <brk id="25" max="1048575" man="1"/>
        <brk id="46" max="12" man="1"/>
      </colBreaks>
      <pageMargins left="0.75" right="0.75" top="1" bottom="1" header="0.5" footer="0.5"/>
      <pageSetup paperSize="5" scale="75" orientation="landscape" r:id="rId5"/>
      <headerFooter alignWithMargins="0">
        <oddHeader xml:space="preserve">&amp;C&amp;"Arial,Bold"&amp;11City of Port Republic
General Election - November 3, 2015
Prepared by the Office of Edward P. McGettigan, Atlantic County Clerk&amp;10
</oddHeader>
        <oddFooter>&amp;R&amp;11Page &amp;P</oddFooter>
      </headerFooter>
    </customSheetView>
  </customSheetViews>
  <mergeCells count="8">
    <mergeCell ref="AM4:AQ4"/>
    <mergeCell ref="AS5:AU5"/>
    <mergeCell ref="AW5:AY5"/>
    <mergeCell ref="C5:Q5"/>
    <mergeCell ref="S5:AC5"/>
    <mergeCell ref="AE5:AG5"/>
    <mergeCell ref="AM5:AQ5"/>
    <mergeCell ref="AI5:AK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 xml:space="preserve">&amp;C&amp;"Arial,Bold"&amp;11City of Port Republic
General Election - November 6, 2018
Prepared by the Office of Edward P. McGettigan, Atlantic County Clerk&amp;10
</oddHeader>
    <oddFooter>&amp;R&amp;11Page &amp;P</oddFooter>
  </headerFooter>
  <colBreaks count="2" manualBreakCount="2">
    <brk id="29" max="18" man="1"/>
    <brk id="68" max="12" man="1"/>
  </colBreaks>
  <drawing r:id="rId7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DP31"/>
  <sheetViews>
    <sheetView zoomScale="75" zoomScaleNormal="75" zoomScaleSheetLayoutView="75" workbookViewId="0">
      <pane xSplit="1" ySplit="10" topLeftCell="AD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61" customWidth="1"/>
    <col min="2" max="2" width="1.7109375" style="37" customWidth="1"/>
    <col min="3" max="3" width="12.140625" style="63" customWidth="1"/>
    <col min="4" max="4" width="1.7109375" style="63" customWidth="1"/>
    <col min="5" max="5" width="11.28515625" style="63" customWidth="1"/>
    <col min="6" max="6" width="1.7109375" style="63" customWidth="1"/>
    <col min="7" max="7" width="15.85546875" style="63" customWidth="1"/>
    <col min="8" max="8" width="1.7109375" style="63" customWidth="1"/>
    <col min="9" max="9" width="12.140625" style="63" customWidth="1"/>
    <col min="10" max="10" width="1.7109375" style="63" customWidth="1"/>
    <col min="11" max="11" width="15.85546875" style="63" customWidth="1"/>
    <col min="12" max="12" width="1.7109375" style="63" customWidth="1"/>
    <col min="13" max="13" width="12.140625" style="63" customWidth="1"/>
    <col min="14" max="14" width="1.7109375" style="63" customWidth="1"/>
    <col min="15" max="15" width="12.140625" style="63" customWidth="1"/>
    <col min="16" max="16" width="1.7109375" style="63" customWidth="1"/>
    <col min="17" max="17" width="13.7109375" style="63" customWidth="1"/>
    <col min="18" max="18" width="1.7109375" style="63" customWidth="1"/>
    <col min="19" max="19" width="13" style="63" customWidth="1"/>
    <col min="20" max="20" width="1.7109375" style="63" customWidth="1"/>
    <col min="21" max="21" width="11.5703125" style="63" customWidth="1"/>
    <col min="22" max="22" width="1.7109375" style="63" customWidth="1"/>
    <col min="23" max="23" width="12.140625" style="63" customWidth="1"/>
    <col min="24" max="24" width="1.7109375" style="63" customWidth="1"/>
    <col min="25" max="25" width="12.140625" style="63" customWidth="1"/>
    <col min="26" max="26" width="1.7109375" style="63" customWidth="1"/>
    <col min="27" max="27" width="12.140625" style="63" customWidth="1"/>
    <col min="28" max="28" width="1.7109375" style="63" customWidth="1"/>
    <col min="29" max="29" width="11.85546875" style="63" customWidth="1"/>
    <col min="30" max="30" width="1.7109375" style="63" customWidth="1"/>
    <col min="31" max="31" width="12.140625" style="63" customWidth="1"/>
    <col min="32" max="32" width="1.7109375" style="63" customWidth="1"/>
    <col min="33" max="33" width="13.7109375" style="63" bestFit="1" customWidth="1"/>
    <col min="34" max="34" width="1.7109375" style="63" customWidth="1"/>
    <col min="35" max="35" width="12.140625" style="63" customWidth="1"/>
    <col min="36" max="36" width="1.7109375" style="63" customWidth="1"/>
    <col min="37" max="37" width="12.140625" style="63" customWidth="1"/>
    <col min="38" max="38" width="1.7109375" style="63" customWidth="1"/>
    <col min="39" max="39" width="12.140625" style="63" customWidth="1"/>
    <col min="40" max="40" width="1.7109375" style="63" customWidth="1"/>
    <col min="41" max="41" width="12.140625" style="63" customWidth="1"/>
    <col min="42" max="42" width="1.7109375" style="63" customWidth="1"/>
    <col min="43" max="43" width="12.140625" style="63" customWidth="1"/>
    <col min="44" max="44" width="1.7109375" style="63" customWidth="1"/>
    <col min="45" max="45" width="12.140625" style="63" customWidth="1"/>
    <col min="46" max="46" width="1.7109375" style="63" customWidth="1"/>
    <col min="47" max="47" width="15.42578125" style="63" bestFit="1" customWidth="1"/>
    <col min="48" max="48" width="1.7109375" style="63" customWidth="1"/>
    <col min="49" max="49" width="15.42578125" style="63" customWidth="1"/>
    <col min="50" max="50" width="1.7109375" style="63" customWidth="1"/>
    <col min="51" max="51" width="11.85546875" style="63" customWidth="1"/>
    <col min="52" max="52" width="1.7109375" style="63" customWidth="1"/>
    <col min="53" max="53" width="12.140625" style="63" customWidth="1"/>
    <col min="54" max="54" width="1.7109375" style="63" customWidth="1"/>
    <col min="55" max="55" width="11.85546875" style="63" customWidth="1"/>
    <col min="56" max="56" width="1.7109375" style="63" customWidth="1"/>
    <col min="57" max="57" width="12.140625" style="63" customWidth="1"/>
    <col min="58" max="58" width="1.7109375" style="63" customWidth="1"/>
    <col min="59" max="59" width="12.140625" style="63" customWidth="1"/>
    <col min="60" max="60" width="1.7109375" style="63" customWidth="1"/>
    <col min="61" max="61" width="9.7109375" style="63" customWidth="1"/>
    <col min="62" max="62" width="1.7109375" style="63" customWidth="1"/>
    <col min="63" max="63" width="9.7109375" style="63" customWidth="1"/>
    <col min="64" max="64" width="1.7109375" style="63" customWidth="1"/>
    <col min="65" max="65" width="12.140625" style="63" hidden="1" customWidth="1"/>
    <col min="66" max="66" width="1.7109375" style="63" hidden="1" customWidth="1"/>
    <col min="67" max="67" width="12.140625" style="63" hidden="1" customWidth="1"/>
    <col min="68" max="68" width="1.7109375" style="63" hidden="1" customWidth="1"/>
    <col min="69" max="69" width="12.140625" style="63" hidden="1" customWidth="1"/>
    <col min="70" max="70" width="1.7109375" style="63" hidden="1" customWidth="1"/>
    <col min="71" max="71" width="11.85546875" style="110" customWidth="1"/>
    <col min="72" max="72" width="1.7109375" style="110" customWidth="1"/>
    <col min="73" max="73" width="11.85546875" style="110" customWidth="1"/>
    <col min="74" max="74" width="1.7109375" style="110" customWidth="1"/>
    <col min="75" max="75" width="11.85546875" style="110" customWidth="1"/>
    <col min="76" max="76" width="1.7109375" style="35" customWidth="1"/>
    <col min="77" max="77" width="11.85546875" style="63" customWidth="1"/>
    <col min="78" max="78" width="1.7109375" style="63" customWidth="1"/>
    <col min="79" max="79" width="9.7109375" style="63" customWidth="1"/>
    <col min="80" max="80" width="1.7109375" style="35" customWidth="1"/>
    <col min="81" max="81" width="11.85546875" style="35" customWidth="1"/>
    <col min="82" max="82" width="1.7109375" style="35" customWidth="1"/>
    <col min="83" max="83" width="11.85546875" style="35" customWidth="1"/>
    <col min="84" max="84" width="1.7109375" style="35" customWidth="1"/>
    <col min="85" max="85" width="11.85546875" style="35" customWidth="1"/>
    <col min="86" max="86" width="1.7109375" style="35" customWidth="1"/>
    <col min="87" max="87" width="11.85546875" style="35" customWidth="1"/>
    <col min="88" max="88" width="1.7109375" style="35" customWidth="1"/>
    <col min="89" max="89" width="11.85546875" style="35" customWidth="1"/>
    <col min="90" max="90" width="1.7109375" style="35" customWidth="1"/>
    <col min="91" max="91" width="11.85546875" style="35" customWidth="1"/>
    <col min="92" max="120" width="9.140625" style="35"/>
    <col min="121" max="16384" width="9.140625" style="37"/>
  </cols>
  <sheetData>
    <row r="1" spans="1:120" s="372" customFormat="1" ht="15" x14ac:dyDescent="0.25">
      <c r="A1" s="362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321"/>
      <c r="AJ1" s="321"/>
      <c r="AK1" s="321"/>
      <c r="AL1" s="321"/>
      <c r="AM1" s="321"/>
      <c r="AN1" s="321"/>
      <c r="AO1" s="321"/>
      <c r="AP1" s="321"/>
      <c r="AQ1" s="321"/>
      <c r="AR1" s="321"/>
      <c r="AS1" s="321"/>
      <c r="AT1" s="321"/>
      <c r="AU1" s="321"/>
      <c r="AV1" s="321"/>
      <c r="AW1" s="321"/>
      <c r="AX1" s="321"/>
      <c r="AY1" s="321"/>
      <c r="AZ1" s="321"/>
      <c r="BA1" s="321"/>
      <c r="BB1" s="321"/>
      <c r="BC1" s="314"/>
      <c r="BD1" s="321"/>
      <c r="BE1" s="459"/>
      <c r="BF1" s="459"/>
      <c r="BG1" s="459"/>
      <c r="BH1" s="321"/>
      <c r="BI1" s="321"/>
      <c r="BJ1" s="321"/>
      <c r="BK1" s="321"/>
      <c r="BL1" s="321"/>
      <c r="BM1" s="321"/>
      <c r="BN1" s="321"/>
      <c r="BO1" s="321"/>
      <c r="BP1" s="321"/>
      <c r="BQ1" s="321"/>
      <c r="BR1" s="321"/>
      <c r="BS1" s="363"/>
      <c r="BT1" s="363"/>
      <c r="BU1" s="363"/>
      <c r="BV1" s="363"/>
      <c r="BW1" s="363"/>
      <c r="BX1" s="373"/>
      <c r="BY1" s="321"/>
      <c r="BZ1" s="321"/>
      <c r="CA1" s="321"/>
      <c r="CB1" s="373"/>
      <c r="CC1" s="373"/>
      <c r="CD1" s="373"/>
      <c r="CE1" s="373"/>
      <c r="CF1" s="373"/>
      <c r="CG1" s="373"/>
      <c r="CH1" s="373"/>
      <c r="CI1" s="373"/>
      <c r="CJ1" s="373"/>
      <c r="CK1" s="373"/>
      <c r="CL1" s="373"/>
      <c r="CM1" s="373"/>
      <c r="CN1" s="373"/>
      <c r="CO1" s="373"/>
      <c r="CP1" s="373"/>
      <c r="CQ1" s="373"/>
      <c r="CR1" s="373"/>
      <c r="CS1" s="373"/>
      <c r="CT1" s="373"/>
      <c r="CU1" s="373"/>
      <c r="CV1" s="373"/>
      <c r="CW1" s="373"/>
      <c r="CX1" s="373"/>
      <c r="CY1" s="373"/>
      <c r="CZ1" s="373"/>
      <c r="DA1" s="373"/>
      <c r="DB1" s="373"/>
      <c r="DC1" s="373"/>
      <c r="DD1" s="373"/>
      <c r="DE1" s="373"/>
      <c r="DF1" s="373"/>
      <c r="DG1" s="373"/>
      <c r="DH1" s="373"/>
      <c r="DI1" s="373"/>
      <c r="DJ1" s="373"/>
      <c r="DK1" s="373"/>
      <c r="DL1" s="373"/>
      <c r="DM1" s="373"/>
      <c r="DN1" s="373"/>
      <c r="DO1" s="373"/>
      <c r="DP1" s="373"/>
    </row>
    <row r="2" spans="1:120" s="372" customFormat="1" ht="15" x14ac:dyDescent="0.25">
      <c r="A2" s="362"/>
      <c r="C2" s="314"/>
      <c r="D2" s="314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23"/>
      <c r="R2" s="323"/>
      <c r="S2" s="323"/>
      <c r="T2" s="310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24"/>
      <c r="AV2" s="310"/>
      <c r="AW2" s="324"/>
      <c r="AX2" s="310"/>
      <c r="AY2" s="324"/>
      <c r="AZ2" s="310"/>
      <c r="BA2" s="324"/>
      <c r="BB2" s="310"/>
      <c r="BC2" s="324"/>
      <c r="BD2" s="321"/>
      <c r="BH2" s="321"/>
      <c r="BI2" s="321"/>
      <c r="BJ2" s="321"/>
      <c r="BK2" s="321"/>
      <c r="BL2" s="321"/>
      <c r="BM2" s="321"/>
      <c r="BN2" s="321"/>
      <c r="BO2" s="321"/>
      <c r="BP2" s="321"/>
      <c r="BQ2" s="321"/>
      <c r="BR2" s="321"/>
      <c r="BS2" s="363"/>
      <c r="BT2" s="363"/>
      <c r="BU2" s="363"/>
      <c r="BV2" s="363"/>
      <c r="BW2" s="363"/>
      <c r="BX2" s="373"/>
      <c r="BY2" s="321"/>
      <c r="BZ2" s="321"/>
      <c r="CA2" s="321"/>
      <c r="CB2" s="373"/>
      <c r="CC2" s="373"/>
      <c r="CD2" s="373"/>
      <c r="CE2" s="373"/>
      <c r="CF2" s="373"/>
      <c r="CG2" s="373"/>
      <c r="CH2" s="373"/>
      <c r="CI2" s="373"/>
      <c r="CJ2" s="373"/>
      <c r="CK2" s="373"/>
      <c r="CL2" s="373"/>
      <c r="CM2" s="373"/>
      <c r="CN2" s="373"/>
      <c r="CO2" s="373"/>
      <c r="CP2" s="373"/>
      <c r="CQ2" s="373"/>
      <c r="CR2" s="373"/>
      <c r="CS2" s="373"/>
      <c r="CT2" s="373"/>
      <c r="CU2" s="373"/>
      <c r="CV2" s="373"/>
      <c r="CW2" s="373"/>
      <c r="CX2" s="373"/>
      <c r="CY2" s="373"/>
      <c r="CZ2" s="373"/>
      <c r="DA2" s="373"/>
      <c r="DB2" s="373"/>
      <c r="DC2" s="373"/>
      <c r="DD2" s="373"/>
      <c r="DE2" s="373"/>
      <c r="DF2" s="373"/>
      <c r="DG2" s="373"/>
      <c r="DH2" s="373"/>
      <c r="DI2" s="373"/>
      <c r="DJ2" s="373"/>
      <c r="DK2" s="373"/>
      <c r="DL2" s="373"/>
      <c r="DM2" s="373"/>
      <c r="DN2" s="373"/>
      <c r="DO2" s="373"/>
      <c r="DP2" s="373"/>
    </row>
    <row r="3" spans="1:120" s="372" customFormat="1" ht="15" x14ac:dyDescent="0.25">
      <c r="A3" s="362"/>
      <c r="C3" s="314"/>
      <c r="D3" s="314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24"/>
      <c r="R3" s="324"/>
      <c r="S3" s="324"/>
      <c r="T3" s="310"/>
      <c r="U3" s="324"/>
      <c r="V3" s="324"/>
      <c r="W3" s="324"/>
      <c r="X3" s="324"/>
      <c r="Y3" s="324"/>
      <c r="Z3" s="324"/>
      <c r="AA3" s="324"/>
      <c r="AB3" s="324"/>
      <c r="AC3" s="324"/>
      <c r="AD3" s="324"/>
      <c r="AE3" s="324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457" t="s">
        <v>142</v>
      </c>
      <c r="AV3" s="457"/>
      <c r="AW3" s="457"/>
      <c r="AX3" s="310"/>
      <c r="AY3" s="324"/>
      <c r="AZ3" s="310"/>
      <c r="BA3" s="324"/>
      <c r="BB3" s="310"/>
      <c r="BC3" s="324"/>
      <c r="BD3" s="321"/>
      <c r="BE3" s="459" t="s">
        <v>115</v>
      </c>
      <c r="BF3" s="459"/>
      <c r="BG3" s="459"/>
      <c r="BH3" s="314"/>
      <c r="BI3" s="314"/>
      <c r="BJ3" s="314"/>
      <c r="BK3" s="314"/>
      <c r="BL3" s="321"/>
      <c r="BM3" s="321"/>
      <c r="BN3" s="321"/>
      <c r="BO3" s="321"/>
      <c r="BP3" s="321"/>
      <c r="BQ3" s="321"/>
      <c r="BR3" s="321"/>
      <c r="BS3" s="363"/>
      <c r="BT3" s="363"/>
      <c r="BU3" s="363"/>
      <c r="BV3" s="363"/>
      <c r="BW3" s="363"/>
      <c r="BX3" s="373"/>
      <c r="BY3" s="321"/>
      <c r="BZ3" s="321"/>
      <c r="CA3" s="321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</row>
    <row r="4" spans="1:120" s="372" customFormat="1" ht="15" x14ac:dyDescent="0.25">
      <c r="A4" s="362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311"/>
      <c r="S4" s="311"/>
      <c r="T4" s="311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23"/>
      <c r="AI4" s="323"/>
      <c r="AJ4" s="323"/>
      <c r="AK4" s="323"/>
      <c r="AL4" s="310"/>
      <c r="AM4" s="310"/>
      <c r="AN4" s="310"/>
      <c r="AO4" s="310"/>
      <c r="AP4" s="310"/>
      <c r="AQ4" s="310"/>
      <c r="AR4" s="310"/>
      <c r="AS4" s="310"/>
      <c r="AT4" s="310"/>
      <c r="AU4" s="457" t="s">
        <v>443</v>
      </c>
      <c r="AV4" s="457"/>
      <c r="AW4" s="457"/>
      <c r="AX4" s="310"/>
      <c r="AY4" s="457" t="s">
        <v>115</v>
      </c>
      <c r="AZ4" s="457"/>
      <c r="BA4" s="457"/>
      <c r="BB4" s="457"/>
      <c r="BC4" s="457"/>
      <c r="BD4" s="321"/>
      <c r="BE4" s="459" t="s">
        <v>116</v>
      </c>
      <c r="BF4" s="459"/>
      <c r="BG4" s="459"/>
      <c r="BH4" s="314"/>
      <c r="BI4" s="314"/>
      <c r="BJ4" s="314"/>
      <c r="BK4" s="314"/>
      <c r="BL4" s="321"/>
      <c r="BM4" s="321"/>
      <c r="BN4" s="321"/>
      <c r="BO4" s="321"/>
      <c r="BP4" s="321"/>
      <c r="BQ4" s="321"/>
      <c r="BR4" s="321"/>
      <c r="BS4" s="363"/>
      <c r="BT4" s="363"/>
      <c r="BU4" s="363"/>
      <c r="BV4" s="363"/>
      <c r="BW4" s="363"/>
      <c r="BX4" s="373"/>
      <c r="BY4" s="321"/>
      <c r="BZ4" s="321"/>
      <c r="CA4" s="321"/>
      <c r="CB4" s="373"/>
      <c r="CC4" s="373"/>
      <c r="CD4" s="373"/>
      <c r="CE4" s="373"/>
      <c r="CF4" s="373"/>
      <c r="CG4" s="37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  <c r="DC4" s="373"/>
      <c r="DD4" s="373"/>
      <c r="DE4" s="373"/>
      <c r="DF4" s="373"/>
      <c r="DG4" s="373"/>
      <c r="DH4" s="373"/>
      <c r="DI4" s="373"/>
      <c r="DJ4" s="373"/>
      <c r="DK4" s="373"/>
      <c r="DL4" s="373"/>
      <c r="DM4" s="373"/>
      <c r="DN4" s="373"/>
      <c r="DO4" s="373"/>
      <c r="DP4" s="373"/>
    </row>
    <row r="5" spans="1:120" s="372" customFormat="1" ht="15.75" thickBot="1" x14ac:dyDescent="0.3">
      <c r="A5" s="362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181</v>
      </c>
      <c r="AJ5" s="464"/>
      <c r="AK5" s="464"/>
      <c r="AL5" s="323"/>
      <c r="AM5" s="464" t="s">
        <v>134</v>
      </c>
      <c r="AN5" s="464"/>
      <c r="AO5" s="464"/>
      <c r="AP5" s="323"/>
      <c r="AQ5" s="464" t="s">
        <v>135</v>
      </c>
      <c r="AR5" s="464"/>
      <c r="AS5" s="464"/>
      <c r="AT5" s="310"/>
      <c r="AU5" s="457" t="s">
        <v>116</v>
      </c>
      <c r="AV5" s="457"/>
      <c r="AW5" s="457"/>
      <c r="AX5" s="310"/>
      <c r="AY5" s="474" t="s">
        <v>116</v>
      </c>
      <c r="AZ5" s="474"/>
      <c r="BA5" s="474"/>
      <c r="BB5" s="474"/>
      <c r="BC5" s="474"/>
      <c r="BD5" s="321"/>
      <c r="BE5" s="459" t="s">
        <v>245</v>
      </c>
      <c r="BF5" s="459"/>
      <c r="BG5" s="459"/>
      <c r="BH5" s="321"/>
      <c r="BI5" s="457" t="s">
        <v>196</v>
      </c>
      <c r="BJ5" s="457"/>
      <c r="BK5" s="457"/>
      <c r="BL5" s="321"/>
      <c r="BM5" s="360"/>
      <c r="BN5" s="360"/>
      <c r="BO5" s="360"/>
      <c r="BP5" s="360"/>
      <c r="BQ5" s="360"/>
      <c r="BR5" s="360"/>
      <c r="BS5" s="360"/>
      <c r="BT5" s="360"/>
      <c r="BU5" s="360"/>
      <c r="BV5" s="363"/>
      <c r="BW5" s="363"/>
      <c r="BX5" s="373"/>
      <c r="BY5" s="321"/>
      <c r="BZ5" s="321"/>
      <c r="CA5" s="321"/>
      <c r="CB5" s="373"/>
      <c r="CC5" s="373"/>
      <c r="CD5" s="373"/>
      <c r="CE5" s="373"/>
      <c r="CF5" s="373"/>
      <c r="CG5" s="37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  <c r="DC5" s="373"/>
      <c r="DD5" s="373"/>
      <c r="DE5" s="373"/>
      <c r="DF5" s="373"/>
      <c r="DG5" s="373"/>
      <c r="DH5" s="373"/>
      <c r="DI5" s="373"/>
      <c r="DJ5" s="373"/>
      <c r="DK5" s="373"/>
      <c r="DL5" s="373"/>
      <c r="DM5" s="373"/>
      <c r="DN5" s="373"/>
      <c r="DO5" s="373"/>
      <c r="DP5" s="373"/>
    </row>
    <row r="6" spans="1:120" s="96" customFormat="1" ht="15" x14ac:dyDescent="0.25">
      <c r="A6" s="61"/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90"/>
      <c r="AI6" s="103"/>
      <c r="AJ6" s="104"/>
      <c r="AK6" s="105"/>
      <c r="AL6" s="290"/>
      <c r="AM6" s="103"/>
      <c r="AN6" s="104"/>
      <c r="AO6" s="102" t="s">
        <v>107</v>
      </c>
      <c r="AP6" s="290"/>
      <c r="AQ6" s="103"/>
      <c r="AR6" s="104"/>
      <c r="AS6" s="102" t="s">
        <v>107</v>
      </c>
      <c r="AT6" s="95"/>
      <c r="AU6" s="176"/>
      <c r="AV6" s="92"/>
      <c r="AW6" s="178"/>
      <c r="AX6" s="95"/>
      <c r="AY6" s="176"/>
      <c r="AZ6" s="92"/>
      <c r="BA6" s="177"/>
      <c r="BB6" s="92"/>
      <c r="BC6" s="91"/>
      <c r="BE6" s="94"/>
      <c r="BF6" s="93"/>
      <c r="BG6" s="91"/>
      <c r="BI6" s="172"/>
      <c r="BJ6" s="173"/>
      <c r="BK6" s="174"/>
      <c r="BM6" s="79"/>
      <c r="BN6" s="77"/>
      <c r="BO6" s="81"/>
      <c r="BP6" s="77"/>
      <c r="BQ6" s="81"/>
      <c r="BR6" s="77"/>
      <c r="BS6" s="79"/>
      <c r="BT6" s="77"/>
      <c r="BU6" s="81"/>
      <c r="BV6" s="77"/>
      <c r="BW6" s="81"/>
      <c r="BX6" s="77"/>
      <c r="BY6" s="81"/>
      <c r="BZ6" s="77"/>
      <c r="CA6" s="82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</row>
    <row r="7" spans="1:120" s="96" customFormat="1" ht="15" x14ac:dyDescent="0.25">
      <c r="A7" s="61"/>
      <c r="C7" s="90" t="str">
        <f>+'Lead Sheet '!C5</f>
        <v>Bob</v>
      </c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tr">
        <f>+'Lead Sheet '!AI5</f>
        <v>Maureen</v>
      </c>
      <c r="AJ7" s="290"/>
      <c r="AK7" s="107" t="str">
        <f>+'Lead Sheet '!AK5</f>
        <v>Maureen</v>
      </c>
      <c r="AL7" s="290"/>
      <c r="AM7" s="106" t="s">
        <v>437</v>
      </c>
      <c r="AN7" s="290"/>
      <c r="AO7" s="107" t="s">
        <v>118</v>
      </c>
      <c r="AP7" s="290"/>
      <c r="AQ7" s="106" t="s">
        <v>439</v>
      </c>
      <c r="AR7" s="290"/>
      <c r="AS7" s="107" t="s">
        <v>118</v>
      </c>
      <c r="AT7" s="95"/>
      <c r="AU7" s="233" t="s">
        <v>441</v>
      </c>
      <c r="AV7" s="95"/>
      <c r="AW7" s="234" t="s">
        <v>458</v>
      </c>
      <c r="AX7" s="95"/>
      <c r="AY7" s="233" t="s">
        <v>461</v>
      </c>
      <c r="AZ7" s="95"/>
      <c r="BA7" s="235" t="s">
        <v>460</v>
      </c>
      <c r="BB7" s="95"/>
      <c r="BC7" s="234" t="s">
        <v>462</v>
      </c>
      <c r="BE7" s="233" t="s">
        <v>465</v>
      </c>
      <c r="BG7" s="234" t="s">
        <v>467</v>
      </c>
      <c r="BI7" s="155"/>
      <c r="BJ7" s="324"/>
      <c r="BK7" s="156"/>
      <c r="BM7" s="78" t="s">
        <v>24</v>
      </c>
      <c r="BN7" s="76"/>
      <c r="BO7" s="83" t="s">
        <v>24</v>
      </c>
      <c r="BP7" s="76"/>
      <c r="BQ7" s="83" t="s">
        <v>24</v>
      </c>
      <c r="BR7" s="76"/>
      <c r="BS7" s="78" t="s">
        <v>24</v>
      </c>
      <c r="BT7" s="76"/>
      <c r="BU7" s="83" t="s">
        <v>24</v>
      </c>
      <c r="BV7" s="76"/>
      <c r="BW7" s="83" t="s">
        <v>24</v>
      </c>
      <c r="BX7" s="76"/>
      <c r="BY7" s="83" t="s">
        <v>24</v>
      </c>
      <c r="BZ7" s="76"/>
      <c r="CA7" s="84" t="s">
        <v>24</v>
      </c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</row>
    <row r="8" spans="1:120" s="96" customFormat="1" ht="14.25" x14ac:dyDescent="0.2">
      <c r="A8" s="61" t="s">
        <v>91</v>
      </c>
      <c r="C8" s="90" t="str">
        <f>+'Lead Sheet '!C6</f>
        <v>HUGIN</v>
      </c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tr">
        <f>+'Lead Sheet '!AI6</f>
        <v>KERN</v>
      </c>
      <c r="AJ8" s="290"/>
      <c r="AK8" s="107" t="str">
        <f>+'Lead Sheet '!AK6</f>
        <v>LEIDY</v>
      </c>
      <c r="AL8" s="290"/>
      <c r="AM8" s="106" t="s">
        <v>438</v>
      </c>
      <c r="AN8" s="290"/>
      <c r="AO8" s="107" t="s">
        <v>119</v>
      </c>
      <c r="AP8" s="290"/>
      <c r="AQ8" s="106" t="s">
        <v>440</v>
      </c>
      <c r="AR8" s="290"/>
      <c r="AS8" s="107" t="s">
        <v>119</v>
      </c>
      <c r="AT8" s="95"/>
      <c r="AU8" s="166" t="s">
        <v>442</v>
      </c>
      <c r="AV8" s="95"/>
      <c r="AW8" s="167" t="s">
        <v>457</v>
      </c>
      <c r="AX8" s="95"/>
      <c r="AY8" s="166" t="s">
        <v>459</v>
      </c>
      <c r="AZ8" s="95"/>
      <c r="BA8" s="152" t="s">
        <v>463</v>
      </c>
      <c r="BB8" s="95"/>
      <c r="BC8" s="167" t="s">
        <v>464</v>
      </c>
      <c r="BE8" s="166" t="s">
        <v>466</v>
      </c>
      <c r="BG8" s="167" t="s">
        <v>468</v>
      </c>
      <c r="BI8" s="315" t="s">
        <v>106</v>
      </c>
      <c r="BJ8" s="143"/>
      <c r="BK8" s="316" t="s">
        <v>107</v>
      </c>
      <c r="BM8" s="78" t="s">
        <v>83</v>
      </c>
      <c r="BN8" s="76"/>
      <c r="BO8" s="83" t="s">
        <v>84</v>
      </c>
      <c r="BP8" s="76"/>
      <c r="BQ8" s="83" t="s">
        <v>85</v>
      </c>
      <c r="BR8" s="76"/>
      <c r="BS8" s="78" t="s">
        <v>83</v>
      </c>
      <c r="BT8" s="76"/>
      <c r="BU8" s="83" t="s">
        <v>84</v>
      </c>
      <c r="BV8" s="76"/>
      <c r="BW8" s="83" t="s">
        <v>85</v>
      </c>
      <c r="BX8" s="76"/>
      <c r="BY8" s="83" t="s">
        <v>86</v>
      </c>
      <c r="BZ8" s="76"/>
      <c r="CA8" s="84" t="s">
        <v>87</v>
      </c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</row>
    <row r="9" spans="1:120" s="96" customFormat="1" ht="14.25" x14ac:dyDescent="0.2">
      <c r="A9" s="61" t="s">
        <v>92</v>
      </c>
      <c r="C9" s="90" t="str">
        <f>+'Lead Sheet '!C7</f>
        <v>Republican</v>
      </c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tr">
        <f>+'Lead Sheet '!AI7</f>
        <v>Republican</v>
      </c>
      <c r="AJ9" s="290"/>
      <c r="AK9" s="107" t="str">
        <f>+'Lead Sheet '!AK7</f>
        <v>Democratic</v>
      </c>
      <c r="AL9" s="290"/>
      <c r="AM9" s="106" t="s">
        <v>93</v>
      </c>
      <c r="AN9" s="290"/>
      <c r="AO9" s="107" t="s">
        <v>99</v>
      </c>
      <c r="AP9" s="290"/>
      <c r="AQ9" s="106" t="s">
        <v>93</v>
      </c>
      <c r="AR9" s="290"/>
      <c r="AS9" s="107" t="s">
        <v>99</v>
      </c>
      <c r="AT9" s="95"/>
      <c r="AU9" s="166"/>
      <c r="AV9" s="95"/>
      <c r="AW9" s="167"/>
      <c r="AX9" s="95"/>
      <c r="AY9" s="166"/>
      <c r="AZ9" s="95"/>
      <c r="BA9" s="152"/>
      <c r="BB9" s="95"/>
      <c r="BC9" s="97"/>
      <c r="BE9" s="90"/>
      <c r="BG9" s="97"/>
      <c r="BI9" s="296"/>
      <c r="BJ9" s="295"/>
      <c r="BK9" s="297"/>
      <c r="BM9" s="78" t="s">
        <v>89</v>
      </c>
      <c r="BN9" s="76"/>
      <c r="BO9" s="83" t="s">
        <v>90</v>
      </c>
      <c r="BP9" s="76"/>
      <c r="BQ9" s="83" t="s">
        <v>89</v>
      </c>
      <c r="BR9" s="76"/>
      <c r="BS9" s="78" t="s">
        <v>89</v>
      </c>
      <c r="BT9" s="76"/>
      <c r="BU9" s="83" t="s">
        <v>90</v>
      </c>
      <c r="BV9" s="76"/>
      <c r="BW9" s="83" t="s">
        <v>89</v>
      </c>
      <c r="BX9" s="76"/>
      <c r="BY9" s="83" t="s">
        <v>89</v>
      </c>
      <c r="BZ9" s="76"/>
      <c r="CA9" s="84" t="s">
        <v>89</v>
      </c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</row>
    <row r="10" spans="1:120" s="96" customFormat="1" ht="15" thickBot="1" x14ac:dyDescent="0.25">
      <c r="A10" s="61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90"/>
      <c r="AM10" s="120"/>
      <c r="AN10" s="289"/>
      <c r="AO10" s="200"/>
      <c r="AP10" s="290"/>
      <c r="AQ10" s="120"/>
      <c r="AR10" s="289"/>
      <c r="AS10" s="200"/>
      <c r="AT10" s="95"/>
      <c r="AU10" s="179"/>
      <c r="AV10" s="100"/>
      <c r="AW10" s="182"/>
      <c r="AX10" s="95"/>
      <c r="AY10" s="179"/>
      <c r="AZ10" s="100"/>
      <c r="BA10" s="181"/>
      <c r="BB10" s="100"/>
      <c r="BC10" s="101"/>
      <c r="BE10" s="98"/>
      <c r="BF10" s="99"/>
      <c r="BG10" s="101"/>
      <c r="BI10" s="146"/>
      <c r="BJ10" s="144"/>
      <c r="BK10" s="145"/>
      <c r="BM10" s="80"/>
      <c r="BN10" s="85"/>
      <c r="BO10" s="85"/>
      <c r="BP10" s="85"/>
      <c r="BQ10" s="85"/>
      <c r="BR10" s="85"/>
      <c r="BS10" s="80"/>
      <c r="BT10" s="85"/>
      <c r="BU10" s="85"/>
      <c r="BV10" s="85"/>
      <c r="BW10" s="85"/>
      <c r="BX10" s="85"/>
      <c r="BY10" s="85"/>
      <c r="BZ10" s="85"/>
      <c r="CA10" s="86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</row>
    <row r="11" spans="1:120" x14ac:dyDescent="0.2">
      <c r="A11" s="61" t="s">
        <v>27</v>
      </c>
      <c r="C11" s="62">
        <f>171+142</f>
        <v>313</v>
      </c>
      <c r="D11" s="35"/>
      <c r="E11" s="62">
        <f>102+97</f>
        <v>199</v>
      </c>
      <c r="F11" s="35"/>
      <c r="G11" s="62">
        <v>4</v>
      </c>
      <c r="H11" s="35"/>
      <c r="I11" s="62">
        <f>1+2</f>
        <v>3</v>
      </c>
      <c r="J11" s="35"/>
      <c r="K11" s="62">
        <f>5+2</f>
        <v>7</v>
      </c>
      <c r="L11" s="35"/>
      <c r="M11" s="62">
        <f>3+1</f>
        <v>4</v>
      </c>
      <c r="N11" s="35"/>
      <c r="O11" s="62">
        <f>1+1</f>
        <v>2</v>
      </c>
      <c r="P11" s="35"/>
      <c r="Q11" s="62">
        <v>1</v>
      </c>
      <c r="R11" s="35"/>
      <c r="S11" s="62">
        <f>147+116</f>
        <v>263</v>
      </c>
      <c r="T11" s="35"/>
      <c r="U11" s="62">
        <f>136+126</f>
        <v>262</v>
      </c>
      <c r="V11" s="35"/>
      <c r="W11" s="62">
        <f>2+2</f>
        <v>4</v>
      </c>
      <c r="X11" s="35"/>
      <c r="Y11" s="62">
        <v>1</v>
      </c>
      <c r="Z11" s="35"/>
      <c r="AA11" s="62">
        <f>4+1</f>
        <v>5</v>
      </c>
      <c r="AB11" s="35"/>
      <c r="AC11" s="62">
        <v>1</v>
      </c>
      <c r="AD11" s="35"/>
      <c r="AE11" s="62">
        <f>186+160</f>
        <v>346</v>
      </c>
      <c r="AF11" s="35"/>
      <c r="AG11" s="62">
        <f>99+86</f>
        <v>185</v>
      </c>
      <c r="AH11" s="35"/>
      <c r="AI11" s="62">
        <f>185+158</f>
        <v>343</v>
      </c>
      <c r="AJ11" s="35"/>
      <c r="AK11" s="62">
        <f>98+82</f>
        <v>180</v>
      </c>
      <c r="AL11" s="35"/>
      <c r="AM11" s="62">
        <f>190+172</f>
        <v>362</v>
      </c>
      <c r="AN11" s="35"/>
      <c r="AO11" s="62"/>
      <c r="AP11" s="35"/>
      <c r="AQ11" s="62"/>
      <c r="AR11" s="35"/>
      <c r="AS11" s="62"/>
      <c r="AT11" s="35"/>
      <c r="AU11" s="62">
        <f>132+112</f>
        <v>244</v>
      </c>
      <c r="AV11" s="35"/>
      <c r="AW11" s="62">
        <v>2</v>
      </c>
      <c r="AX11" s="35"/>
      <c r="AY11" s="62">
        <v>26</v>
      </c>
      <c r="AZ11" s="35"/>
      <c r="BA11" s="62">
        <v>15</v>
      </c>
      <c r="BB11" s="35"/>
      <c r="BC11" s="62">
        <v>19</v>
      </c>
      <c r="BD11" s="35"/>
      <c r="BE11" s="62">
        <v>14</v>
      </c>
      <c r="BF11" s="35"/>
      <c r="BG11" s="62">
        <v>31</v>
      </c>
      <c r="BH11" s="35"/>
      <c r="BI11" s="62">
        <f>100+94</f>
        <v>194</v>
      </c>
      <c r="BJ11" s="35"/>
      <c r="BK11" s="62">
        <f>145+113</f>
        <v>258</v>
      </c>
      <c r="BL11" s="35"/>
      <c r="BM11" s="62"/>
      <c r="BN11" s="35"/>
      <c r="BO11" s="62"/>
      <c r="BP11" s="35"/>
      <c r="BQ11" s="62"/>
      <c r="BR11" s="35"/>
      <c r="BS11" s="62">
        <f>298+250</f>
        <v>548</v>
      </c>
      <c r="BT11" s="35"/>
      <c r="BU11" s="62">
        <v>173</v>
      </c>
      <c r="BV11" s="35"/>
      <c r="BW11" s="62">
        <v>36</v>
      </c>
      <c r="BY11" s="62"/>
      <c r="BZ11" s="35"/>
      <c r="CA11" s="62">
        <f t="shared" ref="CA11:CA18" si="0">+SUM(BS11:BY11)</f>
        <v>757</v>
      </c>
    </row>
    <row r="12" spans="1:120" x14ac:dyDescent="0.2">
      <c r="A12" s="61" t="s">
        <v>28</v>
      </c>
      <c r="C12" s="60">
        <f>134+135</f>
        <v>269</v>
      </c>
      <c r="D12" s="35"/>
      <c r="E12" s="60">
        <f>110+117</f>
        <v>227</v>
      </c>
      <c r="F12" s="35"/>
      <c r="G12" s="60">
        <f>3+3</f>
        <v>6</v>
      </c>
      <c r="H12" s="35"/>
      <c r="I12" s="60">
        <v>2</v>
      </c>
      <c r="J12" s="35"/>
      <c r="K12" s="60">
        <v>1</v>
      </c>
      <c r="L12" s="35"/>
      <c r="M12" s="60">
        <f>3+4</f>
        <v>7</v>
      </c>
      <c r="N12" s="35"/>
      <c r="O12" s="60">
        <f>2+2</f>
        <v>4</v>
      </c>
      <c r="P12" s="35"/>
      <c r="Q12" s="60">
        <v>0</v>
      </c>
      <c r="R12" s="35"/>
      <c r="S12" s="60">
        <f>110+114</f>
        <v>224</v>
      </c>
      <c r="T12" s="35"/>
      <c r="U12" s="60">
        <f>141+137</f>
        <v>278</v>
      </c>
      <c r="V12" s="35"/>
      <c r="W12" s="60">
        <f>1+5</f>
        <v>6</v>
      </c>
      <c r="X12" s="35"/>
      <c r="Y12" s="60">
        <f>1+1</f>
        <v>2</v>
      </c>
      <c r="Z12" s="35"/>
      <c r="AA12" s="60">
        <v>2</v>
      </c>
      <c r="AB12" s="35"/>
      <c r="AC12" s="60">
        <f>2+2</f>
        <v>4</v>
      </c>
      <c r="AD12" s="35"/>
      <c r="AE12" s="60">
        <f>142+132</f>
        <v>274</v>
      </c>
      <c r="AF12" s="35"/>
      <c r="AG12" s="60">
        <f>108+120</f>
        <v>228</v>
      </c>
      <c r="AH12" s="35"/>
      <c r="AI12" s="60">
        <f>143+134</f>
        <v>277</v>
      </c>
      <c r="AJ12" s="35"/>
      <c r="AK12" s="60">
        <f>109+118</f>
        <v>227</v>
      </c>
      <c r="AL12" s="35"/>
      <c r="AM12" s="60">
        <f>163+151</f>
        <v>314</v>
      </c>
      <c r="AN12" s="35"/>
      <c r="AO12" s="60"/>
      <c r="AP12" s="35"/>
      <c r="AQ12" s="60"/>
      <c r="AR12" s="35"/>
      <c r="AS12" s="60"/>
      <c r="AT12" s="35"/>
      <c r="AU12" s="60">
        <f>128+112</f>
        <v>240</v>
      </c>
      <c r="AV12" s="35"/>
      <c r="AW12" s="60">
        <v>5</v>
      </c>
      <c r="AX12" s="35"/>
      <c r="AY12" s="60">
        <v>23</v>
      </c>
      <c r="AZ12" s="35"/>
      <c r="BA12" s="60">
        <v>12</v>
      </c>
      <c r="BB12" s="35"/>
      <c r="BC12" s="60">
        <v>17</v>
      </c>
      <c r="BD12" s="35"/>
      <c r="BE12" s="60">
        <v>12</v>
      </c>
      <c r="BF12" s="35"/>
      <c r="BG12" s="60">
        <v>23</v>
      </c>
      <c r="BH12" s="35"/>
      <c r="BI12" s="60">
        <f>97+113</f>
        <v>210</v>
      </c>
      <c r="BJ12" s="35"/>
      <c r="BK12" s="60">
        <f>120+117</f>
        <v>237</v>
      </c>
      <c r="BL12" s="35"/>
      <c r="BM12" s="60"/>
      <c r="BN12" s="35"/>
      <c r="BO12" s="60"/>
      <c r="BP12" s="35"/>
      <c r="BQ12" s="60"/>
      <c r="BR12" s="35"/>
      <c r="BS12" s="60">
        <f>261+268</f>
        <v>529</v>
      </c>
      <c r="BT12" s="35"/>
      <c r="BU12" s="60"/>
      <c r="BV12" s="35"/>
      <c r="BW12" s="60"/>
      <c r="BY12" s="60"/>
      <c r="BZ12" s="35"/>
      <c r="CA12" s="62">
        <f t="shared" si="0"/>
        <v>529</v>
      </c>
    </row>
    <row r="13" spans="1:120" x14ac:dyDescent="0.2">
      <c r="A13" s="61" t="s">
        <v>29</v>
      </c>
      <c r="C13" s="60">
        <f>84+69</f>
        <v>153</v>
      </c>
      <c r="D13" s="35"/>
      <c r="E13" s="60">
        <f>45+51</f>
        <v>96</v>
      </c>
      <c r="F13" s="35"/>
      <c r="G13" s="60">
        <f>1+1</f>
        <v>2</v>
      </c>
      <c r="H13" s="35"/>
      <c r="I13" s="60">
        <v>0</v>
      </c>
      <c r="J13" s="35"/>
      <c r="K13" s="60">
        <v>1</v>
      </c>
      <c r="L13" s="35"/>
      <c r="M13" s="60">
        <f>2+1</f>
        <v>3</v>
      </c>
      <c r="N13" s="35"/>
      <c r="O13" s="60">
        <v>0</v>
      </c>
      <c r="P13" s="35"/>
      <c r="Q13" s="60">
        <v>0</v>
      </c>
      <c r="R13" s="35"/>
      <c r="S13" s="60">
        <f>65+57</f>
        <v>122</v>
      </c>
      <c r="T13" s="35"/>
      <c r="U13" s="60">
        <f>65+66</f>
        <v>131</v>
      </c>
      <c r="V13" s="35"/>
      <c r="W13" s="60">
        <v>1</v>
      </c>
      <c r="X13" s="35"/>
      <c r="Y13" s="60">
        <v>1</v>
      </c>
      <c r="Z13" s="35"/>
      <c r="AA13" s="60">
        <v>2</v>
      </c>
      <c r="AB13" s="35"/>
      <c r="AC13" s="60">
        <v>0</v>
      </c>
      <c r="AD13" s="35"/>
      <c r="AE13" s="60">
        <f>89+84</f>
        <v>173</v>
      </c>
      <c r="AF13" s="35"/>
      <c r="AG13" s="60">
        <f>43+41</f>
        <v>84</v>
      </c>
      <c r="AH13" s="35"/>
      <c r="AI13" s="60">
        <f>91+84</f>
        <v>175</v>
      </c>
      <c r="AJ13" s="35"/>
      <c r="AK13" s="60">
        <f>41+39</f>
        <v>80</v>
      </c>
      <c r="AL13" s="35"/>
      <c r="AM13" s="60">
        <f>91+89</f>
        <v>180</v>
      </c>
      <c r="AN13" s="35"/>
      <c r="AO13" s="60"/>
      <c r="AP13" s="35"/>
      <c r="AQ13" s="60"/>
      <c r="AR13" s="35"/>
      <c r="AS13" s="60"/>
      <c r="AT13" s="35"/>
      <c r="AU13" s="60">
        <f>60+56</f>
        <v>116</v>
      </c>
      <c r="AV13" s="35"/>
      <c r="AW13" s="60">
        <v>10</v>
      </c>
      <c r="AX13" s="35"/>
      <c r="AY13" s="60">
        <v>16</v>
      </c>
      <c r="AZ13" s="35"/>
      <c r="BA13" s="60">
        <v>8</v>
      </c>
      <c r="BB13" s="35"/>
      <c r="BC13" s="60">
        <v>13</v>
      </c>
      <c r="BD13" s="35"/>
      <c r="BE13" s="60">
        <v>9</v>
      </c>
      <c r="BF13" s="35"/>
      <c r="BG13" s="60">
        <v>18</v>
      </c>
      <c r="BH13" s="35"/>
      <c r="BI13" s="60">
        <f>43+40</f>
        <v>83</v>
      </c>
      <c r="BJ13" s="35"/>
      <c r="BK13" s="60">
        <f>78+66</f>
        <v>144</v>
      </c>
      <c r="BL13" s="35"/>
      <c r="BM13" s="60"/>
      <c r="BN13" s="35"/>
      <c r="BO13" s="60"/>
      <c r="BP13" s="35"/>
      <c r="BQ13" s="60"/>
      <c r="BR13" s="35"/>
      <c r="BS13" s="60">
        <f>134+127</f>
        <v>261</v>
      </c>
      <c r="BT13" s="35"/>
      <c r="BU13" s="60"/>
      <c r="BV13" s="35"/>
      <c r="BW13" s="60"/>
      <c r="BY13" s="60"/>
      <c r="BZ13" s="35"/>
      <c r="CA13" s="62">
        <f t="shared" si="0"/>
        <v>261</v>
      </c>
    </row>
    <row r="14" spans="1:120" x14ac:dyDescent="0.2">
      <c r="A14" s="61" t="s">
        <v>33</v>
      </c>
      <c r="C14" s="60">
        <f>164+150</f>
        <v>314</v>
      </c>
      <c r="D14" s="35"/>
      <c r="E14" s="60">
        <f>114+125</f>
        <v>239</v>
      </c>
      <c r="F14" s="35"/>
      <c r="G14" s="60">
        <f>1+4</f>
        <v>5</v>
      </c>
      <c r="H14" s="35"/>
      <c r="I14" s="60">
        <v>1</v>
      </c>
      <c r="J14" s="35"/>
      <c r="K14" s="60">
        <v>2</v>
      </c>
      <c r="L14" s="35"/>
      <c r="M14" s="60">
        <f>2+3</f>
        <v>5</v>
      </c>
      <c r="N14" s="35"/>
      <c r="O14" s="60">
        <f>3+1</f>
        <v>4</v>
      </c>
      <c r="P14" s="35"/>
      <c r="Q14" s="60">
        <v>1</v>
      </c>
      <c r="R14" s="35"/>
      <c r="S14" s="60">
        <f>124+128</f>
        <v>252</v>
      </c>
      <c r="T14" s="35"/>
      <c r="U14" s="60">
        <f>154+157</f>
        <v>311</v>
      </c>
      <c r="V14" s="35"/>
      <c r="W14" s="60">
        <v>1</v>
      </c>
      <c r="X14" s="35"/>
      <c r="Y14" s="60">
        <v>2</v>
      </c>
      <c r="Z14" s="35"/>
      <c r="AA14" s="60">
        <v>4</v>
      </c>
      <c r="AB14" s="35"/>
      <c r="AC14" s="60">
        <v>2</v>
      </c>
      <c r="AD14" s="35"/>
      <c r="AE14" s="60">
        <f>170+160</f>
        <v>330</v>
      </c>
      <c r="AF14" s="35"/>
      <c r="AG14" s="60">
        <f>113+119</f>
        <v>232</v>
      </c>
      <c r="AH14" s="35"/>
      <c r="AI14" s="60">
        <f>167+157</f>
        <v>324</v>
      </c>
      <c r="AJ14" s="35"/>
      <c r="AK14" s="60">
        <f>116+123</f>
        <v>239</v>
      </c>
      <c r="AL14" s="35"/>
      <c r="AM14" s="60">
        <f>179+166</f>
        <v>345</v>
      </c>
      <c r="AN14" s="35"/>
      <c r="AO14" s="60"/>
      <c r="AP14" s="35"/>
      <c r="AQ14" s="60"/>
      <c r="AR14" s="35"/>
      <c r="AS14" s="60"/>
      <c r="AT14" s="35"/>
      <c r="AU14" s="60">
        <f>130+132</f>
        <v>262</v>
      </c>
      <c r="AV14" s="35"/>
      <c r="AW14" s="60">
        <v>3</v>
      </c>
      <c r="AX14" s="35"/>
      <c r="AY14" s="60">
        <v>25</v>
      </c>
      <c r="AZ14" s="35"/>
      <c r="BA14" s="60">
        <v>15</v>
      </c>
      <c r="BB14" s="35"/>
      <c r="BC14" s="60">
        <v>25</v>
      </c>
      <c r="BD14" s="35"/>
      <c r="BE14" s="60">
        <v>17</v>
      </c>
      <c r="BF14" s="35"/>
      <c r="BG14" s="60">
        <v>21</v>
      </c>
      <c r="BH14" s="35"/>
      <c r="BI14" s="60">
        <f>109+114</f>
        <v>223</v>
      </c>
      <c r="BJ14" s="35"/>
      <c r="BK14" s="60">
        <f>139+134</f>
        <v>273</v>
      </c>
      <c r="BL14" s="35"/>
      <c r="BM14" s="60"/>
      <c r="BN14" s="35"/>
      <c r="BO14" s="60"/>
      <c r="BP14" s="35"/>
      <c r="BQ14" s="60"/>
      <c r="BR14" s="35"/>
      <c r="BS14" s="60">
        <f>293+292</f>
        <v>585</v>
      </c>
      <c r="BT14" s="35"/>
      <c r="BU14" s="60"/>
      <c r="BV14" s="35"/>
      <c r="BW14" s="60"/>
      <c r="BY14" s="60"/>
      <c r="BZ14" s="35"/>
      <c r="CA14" s="62">
        <f t="shared" si="0"/>
        <v>585</v>
      </c>
    </row>
    <row r="15" spans="1:120" x14ac:dyDescent="0.2">
      <c r="A15" s="61" t="s">
        <v>30</v>
      </c>
      <c r="C15" s="60">
        <f>106+84</f>
        <v>190</v>
      </c>
      <c r="D15" s="35"/>
      <c r="E15" s="60">
        <f>84+98</f>
        <v>182</v>
      </c>
      <c r="F15" s="35"/>
      <c r="G15" s="60">
        <v>6</v>
      </c>
      <c r="H15" s="35"/>
      <c r="I15" s="60">
        <v>0</v>
      </c>
      <c r="J15" s="35"/>
      <c r="K15" s="60">
        <v>3</v>
      </c>
      <c r="L15" s="35"/>
      <c r="M15" s="60">
        <f>2+1</f>
        <v>3</v>
      </c>
      <c r="N15" s="35"/>
      <c r="O15" s="60">
        <v>0</v>
      </c>
      <c r="P15" s="35"/>
      <c r="Q15" s="60">
        <v>0</v>
      </c>
      <c r="R15" s="35"/>
      <c r="S15" s="60">
        <f>84+70</f>
        <v>154</v>
      </c>
      <c r="T15" s="35"/>
      <c r="U15" s="60">
        <f>107+116</f>
        <v>223</v>
      </c>
      <c r="V15" s="35"/>
      <c r="W15" s="60">
        <f>1+2</f>
        <v>3</v>
      </c>
      <c r="X15" s="35"/>
      <c r="Y15" s="60">
        <v>0</v>
      </c>
      <c r="Z15" s="35"/>
      <c r="AA15" s="60">
        <v>3</v>
      </c>
      <c r="AB15" s="35"/>
      <c r="AC15" s="60">
        <v>0</v>
      </c>
      <c r="AD15" s="35"/>
      <c r="AE15" s="60">
        <f>117+84</f>
        <v>201</v>
      </c>
      <c r="AF15" s="35"/>
      <c r="AG15" s="60">
        <f>77+97</f>
        <v>174</v>
      </c>
      <c r="AH15" s="35"/>
      <c r="AI15" s="60">
        <f>116+85</f>
        <v>201</v>
      </c>
      <c r="AJ15" s="35"/>
      <c r="AK15" s="60">
        <f>76+99</f>
        <v>175</v>
      </c>
      <c r="AL15" s="35"/>
      <c r="AM15" s="60"/>
      <c r="AN15" s="35"/>
      <c r="AO15" s="60"/>
      <c r="AP15" s="35"/>
      <c r="AQ15" s="60">
        <f>130+103</f>
        <v>233</v>
      </c>
      <c r="AR15" s="35"/>
      <c r="AS15" s="60"/>
      <c r="AT15" s="35"/>
      <c r="AU15" s="60">
        <f>82+73</f>
        <v>155</v>
      </c>
      <c r="AV15" s="35"/>
      <c r="AW15" s="60">
        <v>4</v>
      </c>
      <c r="AX15" s="35"/>
      <c r="AY15" s="60">
        <v>22</v>
      </c>
      <c r="AZ15" s="35"/>
      <c r="BA15" s="60">
        <v>16</v>
      </c>
      <c r="BB15" s="35"/>
      <c r="BC15" s="60">
        <v>17</v>
      </c>
      <c r="BD15" s="35"/>
      <c r="BE15" s="60">
        <v>15</v>
      </c>
      <c r="BF15" s="35"/>
      <c r="BG15" s="60">
        <v>21</v>
      </c>
      <c r="BH15" s="35"/>
      <c r="BI15" s="60">
        <f>66+63</f>
        <v>129</v>
      </c>
      <c r="BJ15" s="35"/>
      <c r="BK15" s="60">
        <f>92+80</f>
        <v>172</v>
      </c>
      <c r="BL15" s="35"/>
      <c r="BM15" s="60"/>
      <c r="BN15" s="35"/>
      <c r="BO15" s="60"/>
      <c r="BP15" s="35"/>
      <c r="BQ15" s="60"/>
      <c r="BR15" s="35"/>
      <c r="BS15" s="60">
        <f>196+190</f>
        <v>386</v>
      </c>
      <c r="BT15" s="35"/>
      <c r="BU15" s="60">
        <v>188</v>
      </c>
      <c r="BV15" s="35"/>
      <c r="BW15" s="60">
        <v>41</v>
      </c>
      <c r="BY15" s="60"/>
      <c r="BZ15" s="35"/>
      <c r="CA15" s="62">
        <f t="shared" si="0"/>
        <v>615</v>
      </c>
    </row>
    <row r="16" spans="1:120" s="10" customFormat="1" x14ac:dyDescent="0.2">
      <c r="A16" s="61" t="s">
        <v>31</v>
      </c>
      <c r="C16" s="60">
        <f>83+69</f>
        <v>152</v>
      </c>
      <c r="D16" s="35"/>
      <c r="E16" s="60">
        <f>49+66</f>
        <v>115</v>
      </c>
      <c r="F16" s="35"/>
      <c r="G16" s="60">
        <f>4+1</f>
        <v>5</v>
      </c>
      <c r="H16" s="35"/>
      <c r="I16" s="60">
        <f>1+1</f>
        <v>2</v>
      </c>
      <c r="J16" s="35"/>
      <c r="K16" s="60">
        <v>2</v>
      </c>
      <c r="L16" s="35"/>
      <c r="M16" s="60">
        <f>1+2</f>
        <v>3</v>
      </c>
      <c r="N16" s="35"/>
      <c r="O16" s="60">
        <v>1</v>
      </c>
      <c r="P16" s="35"/>
      <c r="Q16" s="60">
        <v>1</v>
      </c>
      <c r="R16" s="35"/>
      <c r="S16" s="60">
        <f>73+59</f>
        <v>132</v>
      </c>
      <c r="T16" s="35"/>
      <c r="U16" s="60">
        <f>69+82</f>
        <v>151</v>
      </c>
      <c r="V16" s="35"/>
      <c r="W16" s="60">
        <v>1</v>
      </c>
      <c r="X16" s="35"/>
      <c r="Y16" s="60">
        <v>0</v>
      </c>
      <c r="Z16" s="35"/>
      <c r="AA16" s="60">
        <v>1</v>
      </c>
      <c r="AB16" s="35"/>
      <c r="AC16" s="60">
        <v>0</v>
      </c>
      <c r="AD16" s="35"/>
      <c r="AE16" s="60">
        <f>87+69</f>
        <v>156</v>
      </c>
      <c r="AF16" s="35"/>
      <c r="AG16" s="60">
        <f>50+69</f>
        <v>119</v>
      </c>
      <c r="AH16" s="35"/>
      <c r="AI16" s="60">
        <f>89+77</f>
        <v>166</v>
      </c>
      <c r="AJ16" s="35"/>
      <c r="AK16" s="60">
        <f>50+63</f>
        <v>113</v>
      </c>
      <c r="AL16" s="35"/>
      <c r="AM16" s="60"/>
      <c r="AN16" s="35"/>
      <c r="AO16" s="60"/>
      <c r="AP16" s="35"/>
      <c r="AQ16" s="60">
        <f>99+84</f>
        <v>183</v>
      </c>
      <c r="AR16" s="35"/>
      <c r="AS16" s="60"/>
      <c r="AT16" s="35"/>
      <c r="AU16" s="60">
        <f>78+67</f>
        <v>145</v>
      </c>
      <c r="AV16" s="35"/>
      <c r="AW16" s="60">
        <v>4</v>
      </c>
      <c r="AX16" s="35"/>
      <c r="AY16" s="60">
        <v>16</v>
      </c>
      <c r="AZ16" s="35"/>
      <c r="BA16" s="60">
        <v>11</v>
      </c>
      <c r="BB16" s="35"/>
      <c r="BC16" s="60">
        <v>12</v>
      </c>
      <c r="BD16" s="35"/>
      <c r="BE16" s="60">
        <v>11</v>
      </c>
      <c r="BF16" s="35"/>
      <c r="BG16" s="60">
        <v>6</v>
      </c>
      <c r="BH16" s="35"/>
      <c r="BI16" s="60">
        <f>54+56</f>
        <v>110</v>
      </c>
      <c r="BJ16" s="35"/>
      <c r="BK16" s="60">
        <f>67+64</f>
        <v>131</v>
      </c>
      <c r="BL16" s="35"/>
      <c r="BM16" s="60"/>
      <c r="BN16" s="35"/>
      <c r="BO16" s="60"/>
      <c r="BP16" s="35"/>
      <c r="BQ16" s="60"/>
      <c r="BR16" s="35"/>
      <c r="BS16" s="60">
        <f>142+143</f>
        <v>285</v>
      </c>
      <c r="BT16" s="20"/>
      <c r="BU16" s="60"/>
      <c r="BV16" s="20"/>
      <c r="BW16" s="60"/>
      <c r="BX16" s="20"/>
      <c r="BY16" s="60"/>
      <c r="BZ16" s="20"/>
      <c r="CA16" s="62">
        <f t="shared" si="0"/>
        <v>285</v>
      </c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</row>
    <row r="17" spans="1:120" x14ac:dyDescent="0.2">
      <c r="A17" s="61" t="s">
        <v>32</v>
      </c>
      <c r="C17" s="60">
        <f>97+99</f>
        <v>196</v>
      </c>
      <c r="D17" s="35"/>
      <c r="E17" s="60">
        <f>91+80</f>
        <v>171</v>
      </c>
      <c r="F17" s="35"/>
      <c r="G17" s="60">
        <f>6+5</f>
        <v>11</v>
      </c>
      <c r="H17" s="35"/>
      <c r="I17" s="60">
        <f>1+2</f>
        <v>3</v>
      </c>
      <c r="J17" s="35"/>
      <c r="K17" s="60">
        <v>1</v>
      </c>
      <c r="L17" s="35"/>
      <c r="M17" s="60">
        <v>2</v>
      </c>
      <c r="N17" s="35"/>
      <c r="O17" s="60">
        <v>2</v>
      </c>
      <c r="P17" s="35"/>
      <c r="Q17" s="60">
        <v>0</v>
      </c>
      <c r="R17" s="35"/>
      <c r="S17" s="60">
        <f>74+83</f>
        <v>157</v>
      </c>
      <c r="T17" s="35"/>
      <c r="U17" s="60">
        <f>117+104</f>
        <v>221</v>
      </c>
      <c r="V17" s="35"/>
      <c r="W17" s="60">
        <v>2</v>
      </c>
      <c r="X17" s="35"/>
      <c r="Y17" s="60">
        <f>1+1</f>
        <v>2</v>
      </c>
      <c r="Z17" s="35"/>
      <c r="AA17" s="60">
        <v>0</v>
      </c>
      <c r="AB17" s="35"/>
      <c r="AC17" s="60">
        <v>0</v>
      </c>
      <c r="AD17" s="35"/>
      <c r="AE17" s="60">
        <f>103+104</f>
        <v>207</v>
      </c>
      <c r="AF17" s="35"/>
      <c r="AG17" s="60">
        <f>83+79</f>
        <v>162</v>
      </c>
      <c r="AH17" s="35"/>
      <c r="AI17" s="60">
        <f>108+108</f>
        <v>216</v>
      </c>
      <c r="AJ17" s="35"/>
      <c r="AK17" s="60">
        <f>80+77</f>
        <v>157</v>
      </c>
      <c r="AL17" s="35"/>
      <c r="AM17" s="60"/>
      <c r="AN17" s="35"/>
      <c r="AO17" s="60"/>
      <c r="AP17" s="35"/>
      <c r="AQ17" s="60">
        <f>120+122</f>
        <v>242</v>
      </c>
      <c r="AR17" s="35"/>
      <c r="AS17" s="60"/>
      <c r="AT17" s="35"/>
      <c r="AU17" s="60">
        <f>88+96</f>
        <v>184</v>
      </c>
      <c r="AV17" s="35"/>
      <c r="AW17" s="60">
        <v>6</v>
      </c>
      <c r="AX17" s="35"/>
      <c r="AY17" s="60">
        <v>32</v>
      </c>
      <c r="AZ17" s="35"/>
      <c r="BA17" s="60">
        <v>22</v>
      </c>
      <c r="BB17" s="35"/>
      <c r="BC17" s="60">
        <v>24</v>
      </c>
      <c r="BD17" s="35"/>
      <c r="BE17" s="60">
        <v>22</v>
      </c>
      <c r="BF17" s="35"/>
      <c r="BG17" s="60">
        <v>19</v>
      </c>
      <c r="BH17" s="35"/>
      <c r="BI17" s="60">
        <f>70+76</f>
        <v>146</v>
      </c>
      <c r="BJ17" s="35"/>
      <c r="BK17" s="60">
        <f>96+84</f>
        <v>180</v>
      </c>
      <c r="BL17" s="35"/>
      <c r="BM17" s="60"/>
      <c r="BN17" s="35"/>
      <c r="BO17" s="60"/>
      <c r="BP17" s="35"/>
      <c r="BQ17" s="60"/>
      <c r="BR17" s="35"/>
      <c r="BS17" s="60">
        <f>199+196</f>
        <v>395</v>
      </c>
      <c r="BT17" s="35"/>
      <c r="BU17" s="60"/>
      <c r="BV17" s="35"/>
      <c r="BW17" s="60"/>
      <c r="BY17" s="60"/>
      <c r="BZ17" s="35"/>
      <c r="CA17" s="62">
        <f t="shared" si="0"/>
        <v>395</v>
      </c>
    </row>
    <row r="18" spans="1:120" x14ac:dyDescent="0.2">
      <c r="A18" s="61" t="s">
        <v>34</v>
      </c>
      <c r="C18" s="60">
        <f>155+147</f>
        <v>302</v>
      </c>
      <c r="D18" s="35"/>
      <c r="E18" s="60">
        <f>133+154</f>
        <v>287</v>
      </c>
      <c r="F18" s="35"/>
      <c r="G18" s="60">
        <f>6+7</f>
        <v>13</v>
      </c>
      <c r="H18" s="35"/>
      <c r="I18" s="60">
        <f>1+1</f>
        <v>2</v>
      </c>
      <c r="J18" s="35"/>
      <c r="K18" s="60">
        <f>4+1</f>
        <v>5</v>
      </c>
      <c r="L18" s="35"/>
      <c r="M18" s="60">
        <f>1+3</f>
        <v>4</v>
      </c>
      <c r="N18" s="35"/>
      <c r="O18" s="60">
        <v>2</v>
      </c>
      <c r="P18" s="35"/>
      <c r="Q18" s="60">
        <v>0</v>
      </c>
      <c r="R18" s="35"/>
      <c r="S18" s="60">
        <f>134+127</f>
        <v>261</v>
      </c>
      <c r="T18" s="35"/>
      <c r="U18" s="60">
        <f>160+180</f>
        <v>340</v>
      </c>
      <c r="V18" s="35"/>
      <c r="W18" s="60">
        <f>2+5</f>
        <v>7</v>
      </c>
      <c r="X18" s="35"/>
      <c r="Y18" s="60">
        <f>2+1</f>
        <v>3</v>
      </c>
      <c r="Z18" s="35"/>
      <c r="AA18" s="60">
        <v>5</v>
      </c>
      <c r="AB18" s="35"/>
      <c r="AC18" s="60">
        <v>1</v>
      </c>
      <c r="AD18" s="35"/>
      <c r="AE18" s="60">
        <f>169+159</f>
        <v>328</v>
      </c>
      <c r="AF18" s="35"/>
      <c r="AG18" s="60">
        <f>130+150</f>
        <v>280</v>
      </c>
      <c r="AH18" s="35"/>
      <c r="AI18" s="60">
        <f>177+163</f>
        <v>340</v>
      </c>
      <c r="AJ18" s="35"/>
      <c r="AK18" s="60">
        <f>123+147</f>
        <v>270</v>
      </c>
      <c r="AL18" s="35"/>
      <c r="AM18" s="60"/>
      <c r="AN18" s="35"/>
      <c r="AO18" s="60"/>
      <c r="AP18" s="35"/>
      <c r="AQ18" s="60">
        <f>207+189</f>
        <v>396</v>
      </c>
      <c r="AR18" s="35"/>
      <c r="AS18" s="60"/>
      <c r="AT18" s="35"/>
      <c r="AU18" s="60">
        <f>145+152</f>
        <v>297</v>
      </c>
      <c r="AV18" s="35"/>
      <c r="AW18" s="60">
        <v>15</v>
      </c>
      <c r="AX18" s="35"/>
      <c r="AY18" s="60">
        <v>26</v>
      </c>
      <c r="AZ18" s="35"/>
      <c r="BA18" s="60">
        <v>20</v>
      </c>
      <c r="BB18" s="35"/>
      <c r="BC18" s="60">
        <v>20</v>
      </c>
      <c r="BD18" s="35"/>
      <c r="BE18" s="60">
        <v>19</v>
      </c>
      <c r="BF18" s="35"/>
      <c r="BG18" s="60">
        <v>18</v>
      </c>
      <c r="BH18" s="35"/>
      <c r="BI18" s="60">
        <f>122+126</f>
        <v>248</v>
      </c>
      <c r="BJ18" s="35"/>
      <c r="BK18" s="60">
        <f>139+138</f>
        <v>277</v>
      </c>
      <c r="BL18" s="35"/>
      <c r="BM18" s="60"/>
      <c r="BN18" s="35"/>
      <c r="BO18" s="60"/>
      <c r="BP18" s="35"/>
      <c r="BQ18" s="60"/>
      <c r="BR18" s="35"/>
      <c r="BS18" s="60">
        <f>313+321</f>
        <v>634</v>
      </c>
      <c r="BT18" s="35"/>
      <c r="BU18" s="60"/>
      <c r="BV18" s="35"/>
      <c r="BW18" s="60"/>
      <c r="BY18" s="60"/>
      <c r="BZ18" s="35"/>
      <c r="CA18" s="62">
        <f t="shared" si="0"/>
        <v>634</v>
      </c>
    </row>
    <row r="19" spans="1:120" ht="13.5" thickBot="1" x14ac:dyDescent="0.25"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Y19" s="35"/>
      <c r="BZ19" s="35"/>
      <c r="CA19" s="35"/>
    </row>
    <row r="20" spans="1:120" s="48" customFormat="1" ht="13.5" thickBot="1" x14ac:dyDescent="0.25">
      <c r="A20" s="3" t="s">
        <v>24</v>
      </c>
      <c r="C20" s="41">
        <f>+SUM(C11:C18)</f>
        <v>1889</v>
      </c>
      <c r="D20" s="118"/>
      <c r="E20" s="41">
        <f>+SUM(E11:E18)</f>
        <v>1516</v>
      </c>
      <c r="F20" s="118"/>
      <c r="G20" s="41">
        <f>+SUM(G11:G18)</f>
        <v>52</v>
      </c>
      <c r="H20" s="118"/>
      <c r="I20" s="41">
        <f>+SUM(I11:I18)</f>
        <v>13</v>
      </c>
      <c r="J20" s="118"/>
      <c r="K20" s="41">
        <f>+SUM(K11:K18)</f>
        <v>22</v>
      </c>
      <c r="L20" s="118"/>
      <c r="M20" s="41">
        <f>+SUM(M11:M18)</f>
        <v>31</v>
      </c>
      <c r="N20" s="118"/>
      <c r="O20" s="41">
        <f>+SUM(O11:O18)</f>
        <v>15</v>
      </c>
      <c r="P20" s="118"/>
      <c r="Q20" s="41">
        <f>+SUM(Q11:Q18)</f>
        <v>3</v>
      </c>
      <c r="R20" s="118"/>
      <c r="S20" s="41">
        <f>+SUM(S11:S18)</f>
        <v>1565</v>
      </c>
      <c r="T20" s="118"/>
      <c r="U20" s="41">
        <f>+SUM(U11:U18)</f>
        <v>1917</v>
      </c>
      <c r="V20" s="118"/>
      <c r="W20" s="41">
        <f>+SUM(W11:W18)</f>
        <v>25</v>
      </c>
      <c r="X20" s="118"/>
      <c r="Y20" s="41">
        <f>+SUM(Y11:Y18)</f>
        <v>11</v>
      </c>
      <c r="Z20" s="118"/>
      <c r="AA20" s="41">
        <f>+SUM(AA11:AA18)</f>
        <v>22</v>
      </c>
      <c r="AB20" s="118"/>
      <c r="AC20" s="41">
        <f>+SUM(AC11:AC18)</f>
        <v>8</v>
      </c>
      <c r="AD20" s="118"/>
      <c r="AE20" s="41">
        <f>+SUM(AE11:AE18)</f>
        <v>2015</v>
      </c>
      <c r="AF20" s="118"/>
      <c r="AG20" s="41">
        <f>+SUM(AG11:AG18)</f>
        <v>1464</v>
      </c>
      <c r="AH20" s="118"/>
      <c r="AI20" s="41">
        <f>+SUM(AI11:AI18)</f>
        <v>2042</v>
      </c>
      <c r="AJ20" s="118"/>
      <c r="AK20" s="41">
        <f>+SUM(AK11:AK18)</f>
        <v>1441</v>
      </c>
      <c r="AL20" s="118"/>
      <c r="AM20" s="41">
        <f>+SUM(AM11:AM18)</f>
        <v>1201</v>
      </c>
      <c r="AN20" s="118"/>
      <c r="AO20" s="41">
        <f>+SUM(AO11:AO18)</f>
        <v>0</v>
      </c>
      <c r="AP20" s="118"/>
      <c r="AQ20" s="41">
        <f>+SUM(AQ11:AQ18)</f>
        <v>1054</v>
      </c>
      <c r="AR20" s="118"/>
      <c r="AS20" s="41">
        <f>+SUM(AS11:AS18)</f>
        <v>0</v>
      </c>
      <c r="AT20" s="118"/>
      <c r="AU20" s="41">
        <f>+SUM(AU11:AU18)</f>
        <v>1643</v>
      </c>
      <c r="AV20" s="118"/>
      <c r="AW20" s="41">
        <f>+SUM(AW11:AW18)</f>
        <v>49</v>
      </c>
      <c r="AX20" s="118"/>
      <c r="AY20" s="41">
        <f>+SUM(AY11:AY18)</f>
        <v>186</v>
      </c>
      <c r="AZ20" s="118"/>
      <c r="BA20" s="41">
        <f>+SUM(BA11:BA18)</f>
        <v>119</v>
      </c>
      <c r="BB20" s="118"/>
      <c r="BC20" s="41">
        <f>+SUM(BC11:BC18)</f>
        <v>147</v>
      </c>
      <c r="BD20" s="118"/>
      <c r="BE20" s="41">
        <f>+SUM(BE11:BE18)</f>
        <v>119</v>
      </c>
      <c r="BF20" s="118"/>
      <c r="BG20" s="41">
        <f>+SUM(BG11:BG18)</f>
        <v>157</v>
      </c>
      <c r="BH20" s="118"/>
      <c r="BI20" s="41">
        <f>+SUM(BI11:BI18)</f>
        <v>1343</v>
      </c>
      <c r="BJ20" s="118"/>
      <c r="BK20" s="41">
        <f>+SUM(BK11:BK18)</f>
        <v>1672</v>
      </c>
      <c r="BL20" s="118"/>
      <c r="BM20" s="41">
        <f>+SUM(BM11:BM18)</f>
        <v>0</v>
      </c>
      <c r="BN20" s="118"/>
      <c r="BO20" s="41">
        <f>+SUM(BO11:BO18)</f>
        <v>0</v>
      </c>
      <c r="BP20" s="118"/>
      <c r="BQ20" s="41">
        <f>+SUM(BQ11:BQ18)</f>
        <v>0</v>
      </c>
      <c r="BR20" s="118"/>
      <c r="BS20" s="41">
        <f>+SUM(BS11:BS18)</f>
        <v>3623</v>
      </c>
      <c r="BT20" s="42"/>
      <c r="BU20" s="41">
        <f>+SUM(BU11:BU18)</f>
        <v>361</v>
      </c>
      <c r="BV20" s="42"/>
      <c r="BW20" s="41">
        <f>+SUM(BW11:BW18)</f>
        <v>77</v>
      </c>
      <c r="BX20" s="42"/>
      <c r="BY20" s="41">
        <f>+SUM(BY11:BY18)</f>
        <v>0</v>
      </c>
      <c r="BZ20" s="42"/>
      <c r="CA20" s="41">
        <f>+SUM(CA11:CA18)</f>
        <v>4061</v>
      </c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</row>
    <row r="21" spans="1:120" x14ac:dyDescent="0.2">
      <c r="A21" s="36" t="s">
        <v>73</v>
      </c>
      <c r="C21" s="35">
        <f>74+91</f>
        <v>165</v>
      </c>
      <c r="D21" s="35"/>
      <c r="E21" s="35">
        <f>88+79</f>
        <v>167</v>
      </c>
      <c r="F21" s="35"/>
      <c r="G21" s="35">
        <f>2+2</f>
        <v>4</v>
      </c>
      <c r="H21" s="35"/>
      <c r="I21" s="35">
        <v>0</v>
      </c>
      <c r="J21" s="35"/>
      <c r="K21" s="35">
        <f>2+1</f>
        <v>3</v>
      </c>
      <c r="L21" s="35"/>
      <c r="M21" s="35">
        <f>2+3</f>
        <v>5</v>
      </c>
      <c r="N21" s="35"/>
      <c r="O21" s="35">
        <v>2</v>
      </c>
      <c r="P21" s="35"/>
      <c r="Q21" s="35">
        <v>0</v>
      </c>
      <c r="R21" s="35"/>
      <c r="S21" s="35">
        <f>64+76</f>
        <v>140</v>
      </c>
      <c r="T21" s="35"/>
      <c r="U21" s="35">
        <f>98+106</f>
        <v>204</v>
      </c>
      <c r="V21" s="35"/>
      <c r="W21" s="35">
        <v>5</v>
      </c>
      <c r="X21" s="35"/>
      <c r="Y21" s="35">
        <v>0</v>
      </c>
      <c r="Z21" s="35"/>
      <c r="AA21" s="35">
        <v>0</v>
      </c>
      <c r="AB21" s="35"/>
      <c r="AC21" s="35">
        <f>1+1</f>
        <v>2</v>
      </c>
      <c r="AD21" s="35"/>
      <c r="AE21" s="35">
        <f>81+91</f>
        <v>172</v>
      </c>
      <c r="AF21" s="35"/>
      <c r="AG21" s="35">
        <f>87+95</f>
        <v>182</v>
      </c>
      <c r="AH21" s="35"/>
      <c r="AI21" s="35">
        <f>83+97</f>
        <v>180</v>
      </c>
      <c r="AJ21" s="35"/>
      <c r="AK21" s="35">
        <f>84+86</f>
        <v>170</v>
      </c>
      <c r="AL21" s="35"/>
      <c r="AM21" s="35">
        <v>93</v>
      </c>
      <c r="AN21" s="35"/>
      <c r="AO21" s="35"/>
      <c r="AP21" s="35"/>
      <c r="AQ21" s="35">
        <v>106</v>
      </c>
      <c r="AR21" s="35"/>
      <c r="AS21" s="35"/>
      <c r="AT21" s="35"/>
      <c r="AU21" s="35">
        <f>94+99</f>
        <v>193</v>
      </c>
      <c r="AV21" s="35"/>
      <c r="AW21" s="35">
        <v>1</v>
      </c>
      <c r="AX21" s="35"/>
      <c r="AY21" s="35">
        <v>3</v>
      </c>
      <c r="AZ21" s="35"/>
      <c r="BA21" s="35">
        <v>5</v>
      </c>
      <c r="BB21" s="35"/>
      <c r="BC21" s="35">
        <v>4</v>
      </c>
      <c r="BD21" s="35"/>
      <c r="BE21" s="35">
        <f>2</f>
        <v>2</v>
      </c>
      <c r="BF21" s="35"/>
      <c r="BG21" s="35">
        <f>3</f>
        <v>3</v>
      </c>
      <c r="BH21" s="35"/>
      <c r="BI21" s="35">
        <f>99+105</f>
        <v>204</v>
      </c>
      <c r="BJ21" s="35"/>
      <c r="BK21" s="35">
        <f>63+66</f>
        <v>129</v>
      </c>
      <c r="BL21" s="35"/>
      <c r="BM21" s="35">
        <v>0</v>
      </c>
      <c r="BN21" s="35"/>
      <c r="BO21" s="35">
        <v>0</v>
      </c>
      <c r="BP21" s="35"/>
      <c r="BQ21" s="35">
        <v>0</v>
      </c>
      <c r="BR21" s="35"/>
    </row>
    <row r="22" spans="1:120" x14ac:dyDescent="0.2">
      <c r="A22" s="36" t="s">
        <v>25</v>
      </c>
      <c r="C22" s="35">
        <f>17+18</f>
        <v>35</v>
      </c>
      <c r="D22" s="35"/>
      <c r="E22" s="35">
        <f>17+21</f>
        <v>38</v>
      </c>
      <c r="F22" s="35"/>
      <c r="G22" s="35">
        <v>1</v>
      </c>
      <c r="H22" s="35"/>
      <c r="I22" s="35">
        <v>0</v>
      </c>
      <c r="J22" s="35"/>
      <c r="K22" s="35">
        <v>1</v>
      </c>
      <c r="L22" s="35"/>
      <c r="M22" s="35">
        <v>0</v>
      </c>
      <c r="N22" s="35"/>
      <c r="O22" s="35">
        <v>0</v>
      </c>
      <c r="P22" s="35"/>
      <c r="Q22" s="35">
        <v>0</v>
      </c>
      <c r="R22" s="35"/>
      <c r="S22" s="35">
        <f>13+13</f>
        <v>26</v>
      </c>
      <c r="T22" s="35"/>
      <c r="U22" s="35">
        <f>21+27</f>
        <v>48</v>
      </c>
      <c r="V22" s="35"/>
      <c r="W22" s="35">
        <v>1</v>
      </c>
      <c r="X22" s="35"/>
      <c r="Y22" s="35">
        <v>0</v>
      </c>
      <c r="Z22" s="35"/>
      <c r="AA22" s="35">
        <v>0</v>
      </c>
      <c r="AB22" s="35"/>
      <c r="AC22" s="35">
        <v>0</v>
      </c>
      <c r="AD22" s="35"/>
      <c r="AE22" s="35">
        <f>14+17</f>
        <v>31</v>
      </c>
      <c r="AF22" s="35"/>
      <c r="AG22" s="35">
        <f>20+24</f>
        <v>44</v>
      </c>
      <c r="AH22" s="35"/>
      <c r="AI22" s="35">
        <f>15+18</f>
        <v>33</v>
      </c>
      <c r="AJ22" s="35"/>
      <c r="AK22" s="35">
        <f>18+21</f>
        <v>39</v>
      </c>
      <c r="AL22" s="35"/>
      <c r="AM22" s="35">
        <v>17</v>
      </c>
      <c r="AN22" s="35"/>
      <c r="AO22" s="35"/>
      <c r="AP22" s="35"/>
      <c r="AQ22" s="35">
        <v>17</v>
      </c>
      <c r="AR22" s="35"/>
      <c r="AS22" s="35"/>
      <c r="AT22" s="35"/>
      <c r="AU22" s="35">
        <f>12+14</f>
        <v>26</v>
      </c>
      <c r="AV22" s="35"/>
      <c r="AW22" s="35">
        <f>1</f>
        <v>1</v>
      </c>
      <c r="AX22" s="35"/>
      <c r="AY22" s="35">
        <f>3+1</f>
        <v>4</v>
      </c>
      <c r="AZ22" s="35"/>
      <c r="BA22" s="35">
        <f>1+1</f>
        <v>2</v>
      </c>
      <c r="BB22" s="35"/>
      <c r="BC22" s="35">
        <f>2+2</f>
        <v>4</v>
      </c>
      <c r="BD22" s="35"/>
      <c r="BE22" s="35">
        <f>1</f>
        <v>1</v>
      </c>
      <c r="BF22" s="35"/>
      <c r="BG22" s="35">
        <v>0</v>
      </c>
      <c r="BH22" s="35"/>
      <c r="BI22" s="35">
        <f>16+22</f>
        <v>38</v>
      </c>
      <c r="BJ22" s="35"/>
      <c r="BK22" s="35">
        <f>15+15</f>
        <v>30</v>
      </c>
      <c r="BL22" s="35"/>
      <c r="BM22" s="35">
        <v>0</v>
      </c>
      <c r="BN22" s="35"/>
      <c r="BO22" s="35">
        <v>0</v>
      </c>
      <c r="BP22" s="35"/>
      <c r="BQ22" s="35">
        <v>0</v>
      </c>
      <c r="BR22" s="35"/>
    </row>
    <row r="23" spans="1:120" ht="13.5" thickBot="1" x14ac:dyDescent="0.25">
      <c r="A23" s="36" t="s">
        <v>79</v>
      </c>
      <c r="C23" s="35">
        <v>7</v>
      </c>
      <c r="D23" s="35"/>
      <c r="E23" s="35">
        <v>5</v>
      </c>
      <c r="F23" s="35"/>
      <c r="G23" s="35">
        <v>0</v>
      </c>
      <c r="H23" s="35"/>
      <c r="I23" s="35">
        <v>0</v>
      </c>
      <c r="J23" s="35"/>
      <c r="K23" s="35">
        <v>0</v>
      </c>
      <c r="L23" s="35"/>
      <c r="M23" s="35">
        <v>0</v>
      </c>
      <c r="N23" s="35"/>
      <c r="O23" s="35">
        <v>0</v>
      </c>
      <c r="P23" s="35"/>
      <c r="Q23" s="35">
        <v>0</v>
      </c>
      <c r="R23" s="35"/>
      <c r="S23" s="35">
        <v>8</v>
      </c>
      <c r="T23" s="35"/>
      <c r="U23" s="35">
        <v>4</v>
      </c>
      <c r="V23" s="35"/>
      <c r="W23" s="35">
        <v>0</v>
      </c>
      <c r="X23" s="35"/>
      <c r="Y23" s="35">
        <v>0</v>
      </c>
      <c r="Z23" s="35"/>
      <c r="AA23" s="35">
        <v>0</v>
      </c>
      <c r="AB23" s="35"/>
      <c r="AC23" s="35">
        <v>0</v>
      </c>
      <c r="AD23" s="35"/>
      <c r="AE23" s="35">
        <v>7</v>
      </c>
      <c r="AF23" s="35"/>
      <c r="AG23" s="35">
        <v>5</v>
      </c>
      <c r="AH23" s="35"/>
      <c r="AI23" s="35">
        <v>2</v>
      </c>
      <c r="AJ23" s="35"/>
      <c r="AK23" s="35">
        <v>3</v>
      </c>
      <c r="AL23" s="35"/>
      <c r="AM23" s="35">
        <v>0</v>
      </c>
      <c r="AN23" s="35"/>
      <c r="AO23" s="35">
        <v>0</v>
      </c>
      <c r="AP23" s="35"/>
      <c r="AQ23" s="35">
        <v>0</v>
      </c>
      <c r="AR23" s="35"/>
      <c r="AS23" s="35">
        <v>0</v>
      </c>
      <c r="AT23" s="35"/>
      <c r="AU23" s="35">
        <v>2</v>
      </c>
      <c r="AV23" s="35"/>
      <c r="AW23" s="35">
        <v>0</v>
      </c>
      <c r="AX23" s="35"/>
      <c r="AY23" s="35">
        <v>0</v>
      </c>
      <c r="AZ23" s="35"/>
      <c r="BA23" s="35">
        <v>0</v>
      </c>
      <c r="BB23" s="35"/>
      <c r="BC23" s="35">
        <v>0</v>
      </c>
      <c r="BD23" s="35"/>
      <c r="BE23" s="35">
        <v>0</v>
      </c>
      <c r="BF23" s="35"/>
      <c r="BG23" s="35">
        <v>0</v>
      </c>
      <c r="BH23" s="35"/>
      <c r="BI23" s="35">
        <v>2</v>
      </c>
      <c r="BJ23" s="35"/>
      <c r="BK23" s="35">
        <v>5</v>
      </c>
      <c r="BL23" s="35"/>
      <c r="BM23" s="35">
        <v>0</v>
      </c>
      <c r="BN23" s="35"/>
      <c r="BO23" s="35">
        <v>0</v>
      </c>
      <c r="BP23" s="35"/>
      <c r="BQ23" s="35">
        <v>0</v>
      </c>
      <c r="BR23" s="35"/>
    </row>
    <row r="24" spans="1:120" s="48" customFormat="1" ht="13.5" thickBot="1" x14ac:dyDescent="0.25">
      <c r="A24" s="3" t="s">
        <v>26</v>
      </c>
      <c r="C24" s="41">
        <f>+SUM(C20:C23)</f>
        <v>2096</v>
      </c>
      <c r="D24" s="118"/>
      <c r="E24" s="41">
        <f>+SUM(E20:E23)</f>
        <v>1726</v>
      </c>
      <c r="F24" s="118"/>
      <c r="G24" s="41">
        <f>+SUM(G20:G23)</f>
        <v>57</v>
      </c>
      <c r="H24" s="118"/>
      <c r="I24" s="41">
        <f>+SUM(I20:I23)</f>
        <v>13</v>
      </c>
      <c r="J24" s="118"/>
      <c r="K24" s="41">
        <f>+SUM(K20:K23)</f>
        <v>26</v>
      </c>
      <c r="L24" s="118"/>
      <c r="M24" s="41">
        <f>+SUM(M20:M23)</f>
        <v>36</v>
      </c>
      <c r="N24" s="118"/>
      <c r="O24" s="41">
        <f>+SUM(O20:O23)</f>
        <v>17</v>
      </c>
      <c r="P24" s="118"/>
      <c r="Q24" s="41">
        <f>+SUM(Q20:Q23)</f>
        <v>3</v>
      </c>
      <c r="R24" s="118"/>
      <c r="S24" s="41">
        <f>+SUM(S20:S23)</f>
        <v>1739</v>
      </c>
      <c r="T24" s="118"/>
      <c r="U24" s="41">
        <f>+SUM(U20:U23)</f>
        <v>2173</v>
      </c>
      <c r="V24" s="118"/>
      <c r="W24" s="41">
        <f>+SUM(W20:W23)</f>
        <v>31</v>
      </c>
      <c r="X24" s="118"/>
      <c r="Y24" s="41">
        <f>+SUM(Y20:Y23)</f>
        <v>11</v>
      </c>
      <c r="Z24" s="118"/>
      <c r="AA24" s="41">
        <f>+SUM(AA20:AA23)</f>
        <v>22</v>
      </c>
      <c r="AB24" s="118"/>
      <c r="AC24" s="41">
        <f>+SUM(AC20:AC23)</f>
        <v>10</v>
      </c>
      <c r="AD24" s="118"/>
      <c r="AE24" s="41">
        <f>+SUM(AE20:AE23)</f>
        <v>2225</v>
      </c>
      <c r="AF24" s="118"/>
      <c r="AG24" s="41">
        <f>+SUM(AG20:AG23)</f>
        <v>1695</v>
      </c>
      <c r="AH24" s="118"/>
      <c r="AI24" s="41">
        <f>+SUM(AI20:AI23)</f>
        <v>2257</v>
      </c>
      <c r="AJ24" s="118"/>
      <c r="AK24" s="41">
        <f>+SUM(AK20:AK23)</f>
        <v>1653</v>
      </c>
      <c r="AL24" s="118"/>
      <c r="AM24" s="41">
        <f>+SUM(AM20:AM23)</f>
        <v>1311</v>
      </c>
      <c r="AN24" s="118"/>
      <c r="AO24" s="41">
        <f>+SUM(AO20:AO23)</f>
        <v>0</v>
      </c>
      <c r="AP24" s="118"/>
      <c r="AQ24" s="41">
        <f>+SUM(AQ20:AQ23)</f>
        <v>1177</v>
      </c>
      <c r="AR24" s="118"/>
      <c r="AS24" s="41">
        <f>+SUM(AS20:AS23)</f>
        <v>0</v>
      </c>
      <c r="AT24" s="118"/>
      <c r="AU24" s="41">
        <f>+SUM(AU20:AU23)</f>
        <v>1864</v>
      </c>
      <c r="AV24" s="118"/>
      <c r="AW24" s="41">
        <f>+SUM(AW20:AW23)</f>
        <v>51</v>
      </c>
      <c r="AX24" s="118"/>
      <c r="AY24" s="41">
        <f>+SUM(AY20:AY23)</f>
        <v>193</v>
      </c>
      <c r="AZ24" s="118"/>
      <c r="BA24" s="41">
        <f>+SUM(BA20:BA23)</f>
        <v>126</v>
      </c>
      <c r="BB24" s="118"/>
      <c r="BC24" s="41">
        <f>+SUM(BC20:BC23)</f>
        <v>155</v>
      </c>
      <c r="BD24" s="118"/>
      <c r="BE24" s="41">
        <f>+SUM(BE20:BE23)</f>
        <v>122</v>
      </c>
      <c r="BF24" s="118"/>
      <c r="BG24" s="41">
        <f>+SUM(BG20:BG23)</f>
        <v>160</v>
      </c>
      <c r="BH24" s="118"/>
      <c r="BI24" s="41">
        <f>+SUM(BI20:BI23)</f>
        <v>1587</v>
      </c>
      <c r="BJ24" s="118"/>
      <c r="BK24" s="41">
        <f>+SUM(BK20:BK23)</f>
        <v>1836</v>
      </c>
      <c r="BL24" s="118"/>
      <c r="BM24" s="41">
        <f>+SUM(BM20:BM23)</f>
        <v>0</v>
      </c>
      <c r="BN24" s="118"/>
      <c r="BO24" s="41">
        <f>+SUM(BO20:BO23)</f>
        <v>0</v>
      </c>
      <c r="BP24" s="118"/>
      <c r="BQ24" s="41">
        <f>+SUM(BQ20:BQ23)</f>
        <v>0</v>
      </c>
      <c r="BR24" s="118"/>
      <c r="BT24" s="114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</row>
    <row r="25" spans="1:120" x14ac:dyDescent="0.2">
      <c r="A25" s="3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Y25" s="35"/>
      <c r="CA25" s="35"/>
    </row>
    <row r="26" spans="1:120" x14ac:dyDescent="0.2">
      <c r="BY26" s="35"/>
      <c r="CA26" s="35"/>
    </row>
    <row r="27" spans="1:120" x14ac:dyDescent="0.2">
      <c r="BS27" s="35"/>
      <c r="BT27" s="35"/>
      <c r="BU27" s="35"/>
      <c r="BV27" s="35"/>
      <c r="BW27" s="35"/>
      <c r="BY27" s="35"/>
      <c r="BZ27" s="35"/>
      <c r="CA27" s="35"/>
      <c r="DG27" s="37"/>
      <c r="DH27" s="37"/>
      <c r="DI27" s="37"/>
      <c r="DJ27" s="37"/>
      <c r="DK27" s="37"/>
      <c r="DL27" s="37"/>
      <c r="DM27" s="37"/>
      <c r="DN27" s="37"/>
      <c r="DO27" s="37"/>
      <c r="DP27" s="37"/>
    </row>
    <row r="28" spans="1:120" x14ac:dyDescent="0.2">
      <c r="BS28" s="35"/>
      <c r="BT28" s="35"/>
      <c r="BU28" s="35"/>
      <c r="BV28" s="35"/>
      <c r="BW28" s="35"/>
      <c r="BY28" s="35"/>
      <c r="BZ28" s="35"/>
      <c r="CA28" s="35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</row>
    <row r="29" spans="1:120" x14ac:dyDescent="0.2">
      <c r="BS29" s="35"/>
      <c r="BT29" s="35"/>
      <c r="BU29" s="35"/>
      <c r="BV29" s="35"/>
      <c r="BW29" s="35"/>
      <c r="BY29" s="35"/>
      <c r="BZ29" s="35"/>
      <c r="CA29" s="35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</row>
    <row r="30" spans="1:120" x14ac:dyDescent="0.2">
      <c r="BS30" s="35"/>
      <c r="BT30" s="35"/>
      <c r="BU30" s="35"/>
      <c r="BV30" s="35"/>
      <c r="BW30" s="35"/>
      <c r="BY30" s="35"/>
      <c r="BZ30" s="35"/>
      <c r="CA30" s="35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</row>
    <row r="31" spans="1:120" x14ac:dyDescent="0.2">
      <c r="BS31" s="35"/>
      <c r="BT31" s="35"/>
      <c r="BU31" s="35"/>
      <c r="BV31" s="35"/>
      <c r="BW31" s="35"/>
      <c r="BY31" s="35"/>
      <c r="BZ31" s="35"/>
      <c r="CA31" s="35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</row>
  </sheetData>
  <customSheetViews>
    <customSheetView guid="{E44E71C3-F2DB-4787-90CC-B0F1BDA00262}" scale="75" showPageBreaks="1" printArea="1" view="pageBreakPreview">
      <pane xSplit="1" ySplit="1" topLeftCell="B2" activePane="bottomRight" state="frozen"/>
      <selection pane="bottomRight" activeCell="AQ19" sqref="AQ19:AW21"/>
      <colBreaks count="2" manualBreakCount="2">
        <brk id="25" max="1048575" man="1"/>
        <brk id="49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&amp;C&amp;"Arial,Bold"&amp;11City of Somers Point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AF6" activePane="bottomRight" state="frozen"/>
      <selection pane="bottomRight" activeCell="AQ12" sqref="AQ12"/>
      <colBreaks count="2" manualBreakCount="2">
        <brk id="25" max="1048575" man="1"/>
        <brk id="49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&amp;C&amp;"Arial,Bold"&amp;11City of Somers Point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AF6" activePane="bottomRight" state="frozen"/>
      <selection pane="bottomRight" activeCell="AQ12" sqref="AQ12"/>
      <colBreaks count="2" manualBreakCount="2">
        <brk id="25" max="1048575" man="1"/>
        <brk id="49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&amp;C&amp;"Arial,Bold"&amp;11City of Somers Point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AF6" activePane="bottomRight" state="frozen"/>
      <selection pane="bottomRight" activeCell="AQ12" sqref="AQ12"/>
      <colBreaks count="2" manualBreakCount="2">
        <brk id="25" max="1048575" man="1"/>
        <brk id="49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&amp;C&amp;"Arial,Bold"&amp;11City of Somers Point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AF6" activePane="bottomRight" state="frozen"/>
      <selection pane="bottomRight" activeCell="AQ12" sqref="AQ12"/>
      <colBreaks count="2" manualBreakCount="2">
        <brk id="25" max="1048575" man="1"/>
        <brk id="49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&amp;C&amp;"Arial,Bold"&amp;11City of Somers Point
General Election - November 3, 2015
Prepared by the Office of Edward P. McGettigan, Atlantic County Clerk</oddHeader>
        <oddFooter>&amp;R&amp;11Page &amp;P</oddFooter>
      </headerFooter>
    </customSheetView>
  </customSheetViews>
  <mergeCells count="16">
    <mergeCell ref="BI5:BK5"/>
    <mergeCell ref="AY5:BC5"/>
    <mergeCell ref="AY4:BC4"/>
    <mergeCell ref="BE1:BG1"/>
    <mergeCell ref="BE3:BG3"/>
    <mergeCell ref="BE4:BG4"/>
    <mergeCell ref="BE5:BG5"/>
    <mergeCell ref="AU3:AW3"/>
    <mergeCell ref="AU4:AW4"/>
    <mergeCell ref="AU5:AW5"/>
    <mergeCell ref="C5:Q5"/>
    <mergeCell ref="S5:AC5"/>
    <mergeCell ref="AE5:AG5"/>
    <mergeCell ref="AI5:AK5"/>
    <mergeCell ref="AM5:AO5"/>
    <mergeCell ref="AQ5:AS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&amp;C&amp;"Arial,Bold"&amp;11City of Somers Point
General Election - November 6, 2018
Prepared by the Office of Edward P. McGettigan, Atlantic County Clerk</oddHeader>
    <oddFooter>&amp;R&amp;11Page &amp;P</oddFooter>
  </headerFooter>
  <colBreaks count="2" manualBreakCount="2">
    <brk id="29" max="25" man="1"/>
    <brk id="55" max="25" man="1"/>
  </colBreaks>
  <drawing r:id="rId7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4:CF40"/>
  <sheetViews>
    <sheetView zoomScale="75" zoomScaleNormal="75" zoomScaleSheetLayoutView="75" workbookViewId="0">
      <pane xSplit="1" ySplit="10" topLeftCell="B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33" customWidth="1"/>
    <col min="5" max="5" width="12.140625" style="33" customWidth="1"/>
    <col min="6" max="6" width="1.7109375" style="33" customWidth="1"/>
    <col min="7" max="7" width="12.14062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2.14062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4.85546875" style="33" customWidth="1"/>
    <col min="18" max="18" width="1.7109375" style="33" customWidth="1"/>
    <col min="19" max="19" width="13" style="33" customWidth="1"/>
    <col min="20" max="20" width="1.7109375" style="33" customWidth="1"/>
    <col min="21" max="21" width="12.1406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2.140625" style="33" customWidth="1"/>
    <col min="28" max="28" width="1.7109375" style="33" customWidth="1"/>
    <col min="29" max="29" width="12.140625" style="33" customWidth="1"/>
    <col min="30" max="30" width="1.7109375" style="33" customWidth="1"/>
    <col min="31" max="31" width="12.140625" style="33" customWidth="1"/>
    <col min="32" max="32" width="1.7109375" style="33" customWidth="1"/>
    <col min="33" max="33" width="13.7109375" style="33" bestFit="1" customWidth="1"/>
    <col min="34" max="34" width="1.7109375" style="33" customWidth="1"/>
    <col min="35" max="35" width="12.140625" style="33" customWidth="1"/>
    <col min="36" max="36" width="1.7109375" style="33" customWidth="1"/>
    <col min="37" max="37" width="12.140625" style="33" customWidth="1"/>
    <col min="38" max="38" width="1.7109375" style="33" customWidth="1"/>
    <col min="39" max="39" width="9.7109375" style="33" customWidth="1"/>
    <col min="40" max="40" width="1.7109375" style="33" customWidth="1"/>
    <col min="41" max="41" width="9.7109375" style="33" customWidth="1"/>
    <col min="42" max="42" width="1.7109375" style="33" customWidth="1"/>
    <col min="43" max="43" width="10.7109375" style="19" customWidth="1"/>
    <col min="44" max="44" width="1.7109375" style="19" customWidth="1"/>
    <col min="45" max="45" width="10.28515625" style="19" customWidth="1"/>
    <col min="46" max="46" width="1.7109375" style="19" customWidth="1"/>
    <col min="47" max="47" width="11.85546875" style="19" customWidth="1"/>
    <col min="48" max="48" width="1.7109375" style="19" customWidth="1"/>
    <col min="49" max="49" width="11.85546875" style="19" customWidth="1"/>
    <col min="50" max="50" width="1.7109375" style="19" customWidth="1"/>
    <col min="51" max="51" width="10" style="19" customWidth="1"/>
    <col min="52" max="52" width="1.7109375" style="19" customWidth="1"/>
    <col min="53" max="53" width="11.85546875" style="19" customWidth="1"/>
    <col min="54" max="54" width="1.7109375" style="19" customWidth="1"/>
    <col min="55" max="84" width="9.140625" style="19"/>
    <col min="85" max="16384" width="9.140625" style="11"/>
  </cols>
  <sheetData>
    <row r="4" spans="1:84" ht="15" x14ac:dyDescent="0.25"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311"/>
      <c r="S4" s="311"/>
      <c r="T4" s="311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23"/>
      <c r="AI4" s="323"/>
      <c r="AJ4" s="323"/>
      <c r="AK4" s="323"/>
      <c r="AL4" s="290"/>
      <c r="AM4" s="290"/>
      <c r="AN4" s="290"/>
      <c r="AO4" s="290"/>
      <c r="AP4" s="290"/>
    </row>
    <row r="5" spans="1:84" ht="15.75" thickBot="1" x14ac:dyDescent="0.3"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181</v>
      </c>
      <c r="AJ5" s="464"/>
      <c r="AK5" s="464"/>
      <c r="AL5" s="50"/>
      <c r="AM5" s="457" t="s">
        <v>196</v>
      </c>
      <c r="AN5" s="457"/>
      <c r="AO5" s="457"/>
      <c r="AP5" s="50"/>
    </row>
    <row r="6" spans="1:84" ht="15" x14ac:dyDescent="0.25"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90"/>
      <c r="AI6" s="103"/>
      <c r="AJ6" s="104"/>
      <c r="AK6" s="105"/>
      <c r="AL6" s="290"/>
      <c r="AM6" s="172"/>
      <c r="AN6" s="173"/>
      <c r="AO6" s="174"/>
      <c r="AP6" s="290"/>
      <c r="AQ6" s="79"/>
      <c r="AR6" s="77"/>
      <c r="AS6" s="81"/>
      <c r="AT6" s="77"/>
      <c r="AU6" s="81"/>
      <c r="AV6" s="77"/>
      <c r="AW6" s="81"/>
      <c r="AX6" s="77"/>
      <c r="AY6" s="82"/>
    </row>
    <row r="7" spans="1:84" ht="15" x14ac:dyDescent="0.25"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tr">
        <f>+'Lead Sheet '!AI5</f>
        <v>Maureen</v>
      </c>
      <c r="AJ7" s="290"/>
      <c r="AK7" s="107" t="str">
        <f>+'Lead Sheet '!AK5</f>
        <v>Maureen</v>
      </c>
      <c r="AL7" s="290"/>
      <c r="AM7" s="155"/>
      <c r="AN7" s="324"/>
      <c r="AO7" s="156"/>
      <c r="AP7" s="290"/>
      <c r="AQ7" s="78" t="s">
        <v>24</v>
      </c>
      <c r="AR7" s="76"/>
      <c r="AS7" s="83" t="s">
        <v>24</v>
      </c>
      <c r="AT7" s="76"/>
      <c r="AU7" s="83" t="s">
        <v>24</v>
      </c>
      <c r="AV7" s="76"/>
      <c r="AW7" s="83" t="s">
        <v>24</v>
      </c>
      <c r="AX7" s="76"/>
      <c r="AY7" s="84" t="s">
        <v>24</v>
      </c>
    </row>
    <row r="8" spans="1:84" ht="14.25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tr">
        <f>+'Lead Sheet '!AI6</f>
        <v>KERN</v>
      </c>
      <c r="AJ8" s="290"/>
      <c r="AK8" s="107" t="str">
        <f>+'Lead Sheet '!AK6</f>
        <v>LEIDY</v>
      </c>
      <c r="AL8" s="290"/>
      <c r="AM8" s="315" t="s">
        <v>106</v>
      </c>
      <c r="AN8" s="143"/>
      <c r="AO8" s="316" t="s">
        <v>107</v>
      </c>
      <c r="AP8" s="290"/>
      <c r="AQ8" s="78" t="s">
        <v>83</v>
      </c>
      <c r="AR8" s="76"/>
      <c r="AS8" s="83" t="s">
        <v>84</v>
      </c>
      <c r="AT8" s="76"/>
      <c r="AU8" s="83" t="s">
        <v>85</v>
      </c>
      <c r="AV8" s="76"/>
      <c r="AW8" s="83" t="s">
        <v>86</v>
      </c>
      <c r="AX8" s="76"/>
      <c r="AY8" s="84" t="s">
        <v>87</v>
      </c>
    </row>
    <row r="9" spans="1:84" ht="14.25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tr">
        <f>+'Lead Sheet '!AI7</f>
        <v>Republican</v>
      </c>
      <c r="AJ9" s="290"/>
      <c r="AK9" s="107" t="str">
        <f>+'Lead Sheet '!AK7</f>
        <v>Democratic</v>
      </c>
      <c r="AL9" s="290"/>
      <c r="AM9" s="296"/>
      <c r="AN9" s="295"/>
      <c r="AO9" s="297"/>
      <c r="AP9" s="290"/>
      <c r="AQ9" s="78" t="s">
        <v>89</v>
      </c>
      <c r="AR9" s="76"/>
      <c r="AS9" s="83" t="s">
        <v>90</v>
      </c>
      <c r="AT9" s="76"/>
      <c r="AU9" s="83" t="s">
        <v>89</v>
      </c>
      <c r="AV9" s="76"/>
      <c r="AW9" s="83" t="s">
        <v>89</v>
      </c>
      <c r="AX9" s="76"/>
      <c r="AY9" s="84" t="s">
        <v>89</v>
      </c>
    </row>
    <row r="10" spans="1:84" ht="15" thickBot="1" x14ac:dyDescent="0.25"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90"/>
      <c r="AM10" s="146"/>
      <c r="AN10" s="144"/>
      <c r="AO10" s="145"/>
      <c r="AP10" s="290"/>
      <c r="AQ10" s="80"/>
      <c r="AR10" s="85"/>
      <c r="AS10" s="85"/>
      <c r="AT10" s="85"/>
      <c r="AU10" s="85"/>
      <c r="AV10" s="85"/>
      <c r="AW10" s="85"/>
      <c r="AX10" s="85"/>
      <c r="AY10" s="86"/>
    </row>
    <row r="11" spans="1:84" x14ac:dyDescent="0.2">
      <c r="A11" s="9" t="s">
        <v>53</v>
      </c>
      <c r="C11" s="18">
        <f>151+144</f>
        <v>295</v>
      </c>
      <c r="D11" s="19"/>
      <c r="E11" s="18">
        <f>165+172</f>
        <v>337</v>
      </c>
      <c r="F11" s="19"/>
      <c r="G11" s="18">
        <f>3+1</f>
        <v>4</v>
      </c>
      <c r="H11" s="19"/>
      <c r="I11" s="18">
        <v>2</v>
      </c>
      <c r="J11" s="19"/>
      <c r="K11" s="18">
        <f>3+3</f>
        <v>6</v>
      </c>
      <c r="L11" s="19"/>
      <c r="M11" s="18">
        <f>2+3</f>
        <v>5</v>
      </c>
      <c r="N11" s="19"/>
      <c r="O11" s="18">
        <v>3</v>
      </c>
      <c r="P11" s="19"/>
      <c r="Q11" s="18">
        <v>0</v>
      </c>
      <c r="R11" s="19"/>
      <c r="S11" s="18">
        <f>134+116</f>
        <v>250</v>
      </c>
      <c r="T11" s="19"/>
      <c r="U11" s="18">
        <f>182+199</f>
        <v>381</v>
      </c>
      <c r="V11" s="19"/>
      <c r="W11" s="18">
        <f>2+4</f>
        <v>6</v>
      </c>
      <c r="X11" s="19"/>
      <c r="Y11" s="18">
        <v>1</v>
      </c>
      <c r="Z11" s="19"/>
      <c r="AA11" s="18">
        <v>2</v>
      </c>
      <c r="AB11" s="19"/>
      <c r="AC11" s="18">
        <f>2+1</f>
        <v>3</v>
      </c>
      <c r="AD11" s="19"/>
      <c r="AE11" s="18">
        <f>168+157</f>
        <v>325</v>
      </c>
      <c r="AF11" s="19"/>
      <c r="AG11" s="18">
        <f>152+163</f>
        <v>315</v>
      </c>
      <c r="AH11" s="19"/>
      <c r="AI11" s="18">
        <f>152+143</f>
        <v>295</v>
      </c>
      <c r="AJ11" s="19"/>
      <c r="AK11" s="18">
        <f>164+174</f>
        <v>338</v>
      </c>
      <c r="AL11" s="19"/>
      <c r="AM11" s="18">
        <f>102+116</f>
        <v>218</v>
      </c>
      <c r="AN11" s="19"/>
      <c r="AO11" s="18">
        <f>124+107</f>
        <v>231</v>
      </c>
      <c r="AP11" s="19"/>
      <c r="AQ11" s="18">
        <f>332+333</f>
        <v>665</v>
      </c>
      <c r="AS11" s="18">
        <v>504</v>
      </c>
      <c r="AU11" s="18">
        <v>70</v>
      </c>
      <c r="AW11" s="18"/>
      <c r="AY11" s="18">
        <f>+SUM(AQ11:AW11)</f>
        <v>1239</v>
      </c>
      <c r="CE11" s="11"/>
      <c r="CF11" s="11"/>
    </row>
    <row r="12" spans="1:84" x14ac:dyDescent="0.2">
      <c r="A12" s="9" t="s">
        <v>54</v>
      </c>
      <c r="C12" s="16">
        <f>139+127</f>
        <v>266</v>
      </c>
      <c r="D12" s="19"/>
      <c r="E12" s="16">
        <f>113+123</f>
        <v>236</v>
      </c>
      <c r="F12" s="19"/>
      <c r="G12" s="16">
        <f>7+7</f>
        <v>14</v>
      </c>
      <c r="H12" s="19"/>
      <c r="I12" s="16">
        <v>1</v>
      </c>
      <c r="J12" s="19"/>
      <c r="K12" s="16">
        <f>1+1</f>
        <v>2</v>
      </c>
      <c r="L12" s="19"/>
      <c r="M12" s="16">
        <f>2+4</f>
        <v>6</v>
      </c>
      <c r="N12" s="19"/>
      <c r="O12" s="16">
        <f>2+4</f>
        <v>6</v>
      </c>
      <c r="P12" s="19"/>
      <c r="Q12" s="16">
        <v>0</v>
      </c>
      <c r="R12" s="19"/>
      <c r="S12" s="16">
        <f>125+115</f>
        <v>240</v>
      </c>
      <c r="T12" s="35" t="s">
        <v>108</v>
      </c>
      <c r="U12" s="60">
        <f>140+146</f>
        <v>286</v>
      </c>
      <c r="V12" s="19"/>
      <c r="W12" s="16">
        <f>1+3</f>
        <v>4</v>
      </c>
      <c r="X12" s="19"/>
      <c r="Y12" s="16">
        <v>2</v>
      </c>
      <c r="Z12" s="19"/>
      <c r="AA12" s="16">
        <v>1</v>
      </c>
      <c r="AB12" s="19"/>
      <c r="AC12" s="16">
        <v>1</v>
      </c>
      <c r="AD12" s="19"/>
      <c r="AE12" s="16">
        <f>151+131</f>
        <v>282</v>
      </c>
      <c r="AF12" s="19"/>
      <c r="AG12" s="16">
        <f>113+134</f>
        <v>247</v>
      </c>
      <c r="AH12" s="19"/>
      <c r="AI12" s="16">
        <f>141+124</f>
        <v>265</v>
      </c>
      <c r="AJ12" s="19"/>
      <c r="AK12" s="16">
        <f>123+138</f>
        <v>261</v>
      </c>
      <c r="AL12" s="19"/>
      <c r="AM12" s="16">
        <f>109+115</f>
        <v>224</v>
      </c>
      <c r="AN12" s="19"/>
      <c r="AO12" s="16">
        <f>119+113</f>
        <v>232</v>
      </c>
      <c r="AP12" s="19"/>
      <c r="AQ12" s="16">
        <f>271+269</f>
        <v>540</v>
      </c>
      <c r="AS12" s="16"/>
      <c r="AU12" s="16"/>
      <c r="AW12" s="16"/>
      <c r="AY12" s="18">
        <f>+SUM(AQ12:AW12)</f>
        <v>540</v>
      </c>
      <c r="CE12" s="11"/>
      <c r="CF12" s="11"/>
    </row>
    <row r="13" spans="1:84" x14ac:dyDescent="0.2">
      <c r="A13" s="9" t="s">
        <v>55</v>
      </c>
      <c r="C13" s="16">
        <f>169+183</f>
        <v>352</v>
      </c>
      <c r="D13" s="19"/>
      <c r="E13" s="16">
        <f>145+150</f>
        <v>295</v>
      </c>
      <c r="F13" s="19"/>
      <c r="G13" s="16">
        <f>5+5</f>
        <v>10</v>
      </c>
      <c r="H13" s="19"/>
      <c r="I13" s="16">
        <f>2+1</f>
        <v>3</v>
      </c>
      <c r="J13" s="19"/>
      <c r="K13" s="16">
        <v>4</v>
      </c>
      <c r="L13" s="19"/>
      <c r="M13" s="16">
        <v>2</v>
      </c>
      <c r="N13" s="19"/>
      <c r="O13" s="16">
        <v>1</v>
      </c>
      <c r="P13" s="19"/>
      <c r="Q13" s="16">
        <v>2</v>
      </c>
      <c r="R13" s="19"/>
      <c r="S13" s="16">
        <f>158+171</f>
        <v>329</v>
      </c>
      <c r="T13" s="19"/>
      <c r="U13" s="16">
        <f>155+176</f>
        <v>331</v>
      </c>
      <c r="V13" s="19"/>
      <c r="W13" s="16">
        <f>3+1</f>
        <v>4</v>
      </c>
      <c r="X13" s="19"/>
      <c r="Y13" s="16">
        <v>1</v>
      </c>
      <c r="Z13" s="19"/>
      <c r="AA13" s="16">
        <f>2+2</f>
        <v>4</v>
      </c>
      <c r="AB13" s="19"/>
      <c r="AC13" s="16">
        <f>2+2</f>
        <v>4</v>
      </c>
      <c r="AD13" s="19"/>
      <c r="AE13" s="16">
        <f>178+202</f>
        <v>380</v>
      </c>
      <c r="AF13" s="19"/>
      <c r="AG13" s="16">
        <f>142+147</f>
        <v>289</v>
      </c>
      <c r="AH13" s="19"/>
      <c r="AI13" s="16">
        <f>171+193</f>
        <v>364</v>
      </c>
      <c r="AJ13" s="19"/>
      <c r="AK13" s="16">
        <f>149+155</f>
        <v>304</v>
      </c>
      <c r="AL13" s="19"/>
      <c r="AM13" s="16">
        <f>138+142</f>
        <v>280</v>
      </c>
      <c r="AN13" s="19"/>
      <c r="AO13" s="16">
        <f>141+145</f>
        <v>286</v>
      </c>
      <c r="AP13" s="19"/>
      <c r="AQ13" s="16">
        <f>328+361</f>
        <v>689</v>
      </c>
      <c r="AS13" s="16"/>
      <c r="AU13" s="16"/>
      <c r="AW13" s="16"/>
      <c r="AY13" s="18">
        <f>+SUM(AQ13:AW13)</f>
        <v>689</v>
      </c>
      <c r="CE13" s="11"/>
      <c r="CF13" s="11"/>
    </row>
    <row r="14" spans="1:84" x14ac:dyDescent="0.2">
      <c r="A14" s="9" t="s">
        <v>56</v>
      </c>
      <c r="C14" s="16">
        <f>195+184</f>
        <v>379</v>
      </c>
      <c r="D14" s="19"/>
      <c r="E14" s="16">
        <f>99+114</f>
        <v>213</v>
      </c>
      <c r="F14" s="19"/>
      <c r="G14" s="16">
        <f>3+2</f>
        <v>5</v>
      </c>
      <c r="H14" s="19"/>
      <c r="I14" s="16">
        <v>2</v>
      </c>
      <c r="J14" s="19"/>
      <c r="K14" s="16">
        <v>3</v>
      </c>
      <c r="L14" s="19"/>
      <c r="M14" s="16">
        <v>2</v>
      </c>
      <c r="N14" s="19"/>
      <c r="O14" s="16">
        <v>1</v>
      </c>
      <c r="P14" s="19"/>
      <c r="Q14" s="16">
        <v>0</v>
      </c>
      <c r="R14" s="19"/>
      <c r="S14" s="16">
        <f>170+159</f>
        <v>329</v>
      </c>
      <c r="T14" s="19"/>
      <c r="U14" s="16">
        <f>130+137</f>
        <v>267</v>
      </c>
      <c r="V14" s="19"/>
      <c r="W14" s="16">
        <v>1</v>
      </c>
      <c r="X14" s="19"/>
      <c r="Y14" s="16">
        <v>1</v>
      </c>
      <c r="Z14" s="19"/>
      <c r="AA14" s="16">
        <f>1+1</f>
        <v>2</v>
      </c>
      <c r="AB14" s="19"/>
      <c r="AC14" s="16">
        <f>2+1</f>
        <v>3</v>
      </c>
      <c r="AD14" s="19"/>
      <c r="AE14" s="16">
        <f>202+199</f>
        <v>401</v>
      </c>
      <c r="AF14" s="19"/>
      <c r="AG14" s="16">
        <f>99+100</f>
        <v>199</v>
      </c>
      <c r="AH14" s="19"/>
      <c r="AI14" s="16">
        <f>195+189</f>
        <v>384</v>
      </c>
      <c r="AJ14" s="19"/>
      <c r="AK14" s="16">
        <f>104+110</f>
        <v>214</v>
      </c>
      <c r="AL14" s="19"/>
      <c r="AM14" s="16">
        <f>115+119</f>
        <v>234</v>
      </c>
      <c r="AN14" s="19"/>
      <c r="AO14" s="16">
        <f>147+153</f>
        <v>300</v>
      </c>
      <c r="AP14" s="19"/>
      <c r="AQ14" s="16">
        <f>306+306</f>
        <v>612</v>
      </c>
      <c r="AS14" s="16"/>
      <c r="AU14" s="16"/>
      <c r="AW14" s="16"/>
      <c r="AY14" s="18">
        <f>+SUM(AQ14:AW14)</f>
        <v>612</v>
      </c>
      <c r="CE14" s="11"/>
      <c r="CF14" s="11"/>
    </row>
    <row r="15" spans="1:84" x14ac:dyDescent="0.2">
      <c r="A15" s="9" t="s">
        <v>57</v>
      </c>
      <c r="C15" s="16">
        <f>175+167</f>
        <v>342</v>
      </c>
      <c r="D15" s="19"/>
      <c r="E15" s="16">
        <f>128+125</f>
        <v>253</v>
      </c>
      <c r="F15" s="19"/>
      <c r="G15" s="16">
        <f>6+9</f>
        <v>15</v>
      </c>
      <c r="H15" s="19"/>
      <c r="I15" s="16">
        <v>1</v>
      </c>
      <c r="J15" s="19"/>
      <c r="K15" s="16">
        <f>2+1</f>
        <v>3</v>
      </c>
      <c r="L15" s="19"/>
      <c r="M15" s="16">
        <f>1+3</f>
        <v>4</v>
      </c>
      <c r="N15" s="19"/>
      <c r="O15" s="16">
        <v>0</v>
      </c>
      <c r="P15" s="19"/>
      <c r="Q15" s="16">
        <v>1</v>
      </c>
      <c r="R15" s="19"/>
      <c r="S15" s="16">
        <f>158+146</f>
        <v>304</v>
      </c>
      <c r="T15" s="19"/>
      <c r="U15" s="16">
        <f>148+161</f>
        <v>309</v>
      </c>
      <c r="V15" s="19"/>
      <c r="W15" s="16">
        <f>2+1</f>
        <v>3</v>
      </c>
      <c r="X15" s="19"/>
      <c r="Y15" s="16">
        <f>3+2</f>
        <v>5</v>
      </c>
      <c r="Z15" s="19"/>
      <c r="AA15" s="16">
        <v>1</v>
      </c>
      <c r="AB15" s="19"/>
      <c r="AC15" s="16">
        <v>1</v>
      </c>
      <c r="AD15" s="19"/>
      <c r="AE15" s="16">
        <f>186+179</f>
        <v>365</v>
      </c>
      <c r="AF15" s="19"/>
      <c r="AG15" s="16">
        <f>121+126</f>
        <v>247</v>
      </c>
      <c r="AH15" s="19"/>
      <c r="AI15" s="16">
        <f>178+166</f>
        <v>344</v>
      </c>
      <c r="AJ15" s="19"/>
      <c r="AK15" s="16">
        <f>123+137</f>
        <v>260</v>
      </c>
      <c r="AL15" s="19"/>
      <c r="AM15" s="16">
        <f>125+125</f>
        <v>250</v>
      </c>
      <c r="AN15" s="19"/>
      <c r="AO15" s="16">
        <f>129+140</f>
        <v>269</v>
      </c>
      <c r="AP15" s="19"/>
      <c r="AQ15" s="16">
        <f>319+319</f>
        <v>638</v>
      </c>
      <c r="AS15" s="16"/>
      <c r="AU15" s="16"/>
      <c r="AW15" s="16"/>
      <c r="AY15" s="18">
        <f>+SUM(AQ15:AW15)</f>
        <v>638</v>
      </c>
      <c r="CE15" s="11"/>
      <c r="CF15" s="11"/>
    </row>
    <row r="16" spans="1:84" s="10" customFormat="1" ht="13.5" thickBot="1" x14ac:dyDescent="0.25">
      <c r="A16" s="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20"/>
      <c r="AS16" s="19"/>
      <c r="AT16" s="20"/>
      <c r="AU16" s="19"/>
      <c r="AV16" s="20"/>
      <c r="AW16" s="19"/>
      <c r="AX16" s="20"/>
      <c r="AY16" s="19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</row>
    <row r="17" spans="1:84" s="48" customFormat="1" ht="13.5" thickBot="1" x14ac:dyDescent="0.25">
      <c r="A17" s="3" t="s">
        <v>24</v>
      </c>
      <c r="C17" s="41">
        <f>+SUM(C11:C15)</f>
        <v>1634</v>
      </c>
      <c r="D17" s="57"/>
      <c r="E17" s="41">
        <f>+SUM(E11:E15)</f>
        <v>1334</v>
      </c>
      <c r="F17" s="57"/>
      <c r="G17" s="41">
        <f>+SUM(G11:G15)</f>
        <v>48</v>
      </c>
      <c r="H17" s="57"/>
      <c r="I17" s="41">
        <f>+SUM(I11:I15)</f>
        <v>9</v>
      </c>
      <c r="J17" s="57"/>
      <c r="K17" s="41">
        <f>+SUM(K11:K15)</f>
        <v>18</v>
      </c>
      <c r="L17" s="57"/>
      <c r="M17" s="41">
        <f>+SUM(M11:M15)</f>
        <v>19</v>
      </c>
      <c r="N17" s="57"/>
      <c r="O17" s="41">
        <f>+SUM(O11:O15)</f>
        <v>11</v>
      </c>
      <c r="P17" s="57"/>
      <c r="Q17" s="41">
        <f>+SUM(Q11:Q15)</f>
        <v>3</v>
      </c>
      <c r="R17" s="57"/>
      <c r="S17" s="41">
        <f>+SUM(S11:S15)</f>
        <v>1452</v>
      </c>
      <c r="T17" s="57"/>
      <c r="U17" s="41">
        <f>+SUM(U11:U15)</f>
        <v>1574</v>
      </c>
      <c r="V17" s="57"/>
      <c r="W17" s="41">
        <f>+SUM(W11:W15)</f>
        <v>18</v>
      </c>
      <c r="X17" s="57"/>
      <c r="Y17" s="41">
        <f>+SUM(Y11:Y15)</f>
        <v>10</v>
      </c>
      <c r="Z17" s="57"/>
      <c r="AA17" s="41">
        <f>+SUM(AA11:AA15)</f>
        <v>10</v>
      </c>
      <c r="AB17" s="57"/>
      <c r="AC17" s="41">
        <f>+SUM(AC11:AC15)</f>
        <v>12</v>
      </c>
      <c r="AD17" s="57"/>
      <c r="AE17" s="41">
        <f>+SUM(AE11:AE15)</f>
        <v>1753</v>
      </c>
      <c r="AF17" s="57"/>
      <c r="AG17" s="41">
        <f>+SUM(AG11:AG15)</f>
        <v>1297</v>
      </c>
      <c r="AH17" s="57"/>
      <c r="AI17" s="41">
        <f>+SUM(AI11:AI15)</f>
        <v>1652</v>
      </c>
      <c r="AJ17" s="57"/>
      <c r="AK17" s="41">
        <f>+SUM(AK11:AK15)</f>
        <v>1377</v>
      </c>
      <c r="AL17" s="57"/>
      <c r="AM17" s="41">
        <f>+SUM(AM11:AM15)</f>
        <v>1206</v>
      </c>
      <c r="AN17" s="57"/>
      <c r="AO17" s="41">
        <f>+SUM(AO11:AO15)</f>
        <v>1318</v>
      </c>
      <c r="AP17" s="57"/>
      <c r="AQ17" s="41">
        <f>+SUM(AQ11:AQ15)</f>
        <v>3144</v>
      </c>
      <c r="AR17" s="42"/>
      <c r="AS17" s="41">
        <f>+SUM(AS11:AS15)</f>
        <v>504</v>
      </c>
      <c r="AT17" s="42"/>
      <c r="AU17" s="41">
        <f>+SUM(AU11:AU15)</f>
        <v>70</v>
      </c>
      <c r="AV17" s="42"/>
      <c r="AW17" s="41">
        <f>+SUM(AW11:AW15)</f>
        <v>0</v>
      </c>
      <c r="AX17" s="42"/>
      <c r="AY17" s="41">
        <f>+SUM(AY11:AY15)</f>
        <v>3718</v>
      </c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</row>
    <row r="18" spans="1:84" x14ac:dyDescent="0.2">
      <c r="A18" s="36" t="s">
        <v>73</v>
      </c>
      <c r="C18" s="19">
        <v>215</v>
      </c>
      <c r="D18" s="19"/>
      <c r="E18" s="19">
        <v>263</v>
      </c>
      <c r="F18" s="19"/>
      <c r="G18" s="19">
        <v>5</v>
      </c>
      <c r="H18" s="19"/>
      <c r="I18" s="19">
        <v>1</v>
      </c>
      <c r="J18" s="19"/>
      <c r="K18" s="19">
        <v>0</v>
      </c>
      <c r="L18" s="19"/>
      <c r="M18" s="19">
        <v>4</v>
      </c>
      <c r="N18" s="19"/>
      <c r="O18" s="19">
        <v>0</v>
      </c>
      <c r="P18" s="19"/>
      <c r="Q18" s="19">
        <v>0</v>
      </c>
      <c r="R18" s="19"/>
      <c r="S18" s="19">
        <v>192</v>
      </c>
      <c r="T18" s="19"/>
      <c r="U18" s="19">
        <v>294</v>
      </c>
      <c r="V18" s="19"/>
      <c r="W18" s="19">
        <v>4</v>
      </c>
      <c r="X18" s="19"/>
      <c r="Y18" s="19">
        <v>1</v>
      </c>
      <c r="Z18" s="19"/>
      <c r="AA18" s="19">
        <v>0</v>
      </c>
      <c r="AB18" s="19"/>
      <c r="AC18" s="19">
        <v>3</v>
      </c>
      <c r="AD18" s="19"/>
      <c r="AE18" s="19">
        <v>245</v>
      </c>
      <c r="AF18" s="19"/>
      <c r="AG18" s="19">
        <v>251</v>
      </c>
      <c r="AH18" s="19"/>
      <c r="AI18" s="19">
        <v>223</v>
      </c>
      <c r="AJ18" s="19"/>
      <c r="AK18" s="19">
        <v>270</v>
      </c>
      <c r="AL18" s="19"/>
      <c r="AM18" s="19">
        <v>294</v>
      </c>
      <c r="AN18" s="19"/>
      <c r="AO18" s="19">
        <v>172</v>
      </c>
      <c r="AP18" s="19"/>
      <c r="CE18" s="11"/>
      <c r="CF18" s="11"/>
    </row>
    <row r="19" spans="1:84" x14ac:dyDescent="0.2">
      <c r="A19" s="4" t="s">
        <v>25</v>
      </c>
      <c r="C19" s="19">
        <v>33</v>
      </c>
      <c r="D19" s="19"/>
      <c r="E19" s="19">
        <v>27</v>
      </c>
      <c r="F19" s="19"/>
      <c r="G19" s="19">
        <v>0</v>
      </c>
      <c r="H19" s="19"/>
      <c r="I19" s="19">
        <v>1</v>
      </c>
      <c r="J19" s="19"/>
      <c r="K19" s="19">
        <v>0</v>
      </c>
      <c r="L19" s="19"/>
      <c r="M19" s="19">
        <v>2</v>
      </c>
      <c r="N19" s="19"/>
      <c r="O19" s="19">
        <v>0</v>
      </c>
      <c r="P19" s="19"/>
      <c r="Q19" s="19">
        <v>0</v>
      </c>
      <c r="R19" s="19"/>
      <c r="S19" s="19">
        <v>31</v>
      </c>
      <c r="T19" s="19"/>
      <c r="U19" s="19">
        <v>33</v>
      </c>
      <c r="V19" s="19"/>
      <c r="W19" s="19">
        <v>0</v>
      </c>
      <c r="X19" s="19"/>
      <c r="Y19" s="19">
        <v>0</v>
      </c>
      <c r="Z19" s="19"/>
      <c r="AA19" s="19">
        <v>1</v>
      </c>
      <c r="AB19" s="19"/>
      <c r="AC19" s="19">
        <v>0</v>
      </c>
      <c r="AD19" s="19"/>
      <c r="AE19" s="19">
        <v>34</v>
      </c>
      <c r="AF19" s="19"/>
      <c r="AG19" s="19">
        <v>32</v>
      </c>
      <c r="AH19" s="19"/>
      <c r="AI19" s="19">
        <v>33</v>
      </c>
      <c r="AJ19" s="19"/>
      <c r="AK19" s="19">
        <v>33</v>
      </c>
      <c r="AL19" s="19"/>
      <c r="AM19" s="19">
        <v>24</v>
      </c>
      <c r="AN19" s="19"/>
      <c r="AO19" s="19">
        <v>28</v>
      </c>
      <c r="AP19" s="19"/>
      <c r="CE19" s="11"/>
      <c r="CF19" s="11"/>
    </row>
    <row r="20" spans="1:84" ht="13.5" thickBot="1" x14ac:dyDescent="0.25">
      <c r="A20" s="4" t="s">
        <v>79</v>
      </c>
      <c r="C20" s="19">
        <v>1</v>
      </c>
      <c r="D20" s="19"/>
      <c r="E20" s="19">
        <v>2</v>
      </c>
      <c r="F20" s="19"/>
      <c r="G20" s="19">
        <v>0</v>
      </c>
      <c r="H20" s="19"/>
      <c r="I20" s="19">
        <v>0</v>
      </c>
      <c r="J20" s="19"/>
      <c r="K20" s="19">
        <v>0</v>
      </c>
      <c r="L20" s="19"/>
      <c r="M20" s="19">
        <v>0</v>
      </c>
      <c r="N20" s="19"/>
      <c r="O20" s="19">
        <v>0</v>
      </c>
      <c r="P20" s="19"/>
      <c r="Q20" s="19">
        <v>0</v>
      </c>
      <c r="R20" s="19"/>
      <c r="S20" s="19">
        <v>1</v>
      </c>
      <c r="T20" s="19"/>
      <c r="U20" s="19">
        <v>2</v>
      </c>
      <c r="V20" s="19"/>
      <c r="W20" s="19">
        <v>0</v>
      </c>
      <c r="X20" s="19"/>
      <c r="Y20" s="19">
        <v>0</v>
      </c>
      <c r="Z20" s="19"/>
      <c r="AA20" s="19">
        <v>0</v>
      </c>
      <c r="AB20" s="19"/>
      <c r="AC20" s="19">
        <v>0</v>
      </c>
      <c r="AD20" s="19"/>
      <c r="AE20" s="19">
        <v>1</v>
      </c>
      <c r="AF20" s="19"/>
      <c r="AG20" s="19">
        <v>2</v>
      </c>
      <c r="AH20" s="19"/>
      <c r="AI20" s="19">
        <v>1</v>
      </c>
      <c r="AJ20" s="19"/>
      <c r="AK20" s="19">
        <v>0</v>
      </c>
      <c r="AL20" s="19"/>
      <c r="AM20" s="19">
        <v>2</v>
      </c>
      <c r="AN20" s="19"/>
      <c r="AO20" s="19">
        <v>1</v>
      </c>
      <c r="AP20" s="19"/>
      <c r="CE20" s="11"/>
      <c r="CF20" s="11"/>
    </row>
    <row r="21" spans="1:84" s="48" customFormat="1" ht="13.5" thickBot="1" x14ac:dyDescent="0.25">
      <c r="A21" s="3" t="s">
        <v>26</v>
      </c>
      <c r="C21" s="41">
        <f>+SUM(C17:C20)</f>
        <v>1883</v>
      </c>
      <c r="D21" s="57"/>
      <c r="E21" s="41">
        <f>+SUM(E17:E20)</f>
        <v>1626</v>
      </c>
      <c r="F21" s="57"/>
      <c r="G21" s="41">
        <f>+SUM(G17:G20)</f>
        <v>53</v>
      </c>
      <c r="H21" s="57"/>
      <c r="I21" s="41">
        <f>+SUM(I17:I20)</f>
        <v>11</v>
      </c>
      <c r="J21" s="57"/>
      <c r="K21" s="41">
        <f>+SUM(K17:K20)</f>
        <v>18</v>
      </c>
      <c r="L21" s="57"/>
      <c r="M21" s="41">
        <f>+SUM(M17:M20)</f>
        <v>25</v>
      </c>
      <c r="N21" s="57"/>
      <c r="O21" s="41">
        <f>+SUM(O17:O20)</f>
        <v>11</v>
      </c>
      <c r="P21" s="57"/>
      <c r="Q21" s="41">
        <f>+SUM(Q17:Q20)</f>
        <v>3</v>
      </c>
      <c r="R21" s="57"/>
      <c r="S21" s="41">
        <f>+SUM(S17:S20)</f>
        <v>1676</v>
      </c>
      <c r="T21" s="57"/>
      <c r="U21" s="41">
        <f>+SUM(U17:U20)</f>
        <v>1903</v>
      </c>
      <c r="V21" s="57"/>
      <c r="W21" s="41">
        <f>+SUM(W17:W20)</f>
        <v>22</v>
      </c>
      <c r="X21" s="57"/>
      <c r="Y21" s="41">
        <f>+SUM(Y17:Y20)</f>
        <v>11</v>
      </c>
      <c r="Z21" s="57"/>
      <c r="AA21" s="41">
        <f>+SUM(AA17:AA20)</f>
        <v>11</v>
      </c>
      <c r="AB21" s="57"/>
      <c r="AC21" s="41">
        <f>+SUM(AC17:AC20)</f>
        <v>15</v>
      </c>
      <c r="AD21" s="57"/>
      <c r="AE21" s="41">
        <f>+SUM(AE17:AE20)</f>
        <v>2033</v>
      </c>
      <c r="AF21" s="57"/>
      <c r="AG21" s="41">
        <f>+SUM(AG17:AG20)</f>
        <v>1582</v>
      </c>
      <c r="AH21" s="57"/>
      <c r="AI21" s="41">
        <f>+SUM(AI17:AI20)</f>
        <v>1909</v>
      </c>
      <c r="AJ21" s="57"/>
      <c r="AK21" s="41">
        <f>+SUM(AK17:AK20)</f>
        <v>1680</v>
      </c>
      <c r="AL21" s="57"/>
      <c r="AM21" s="41">
        <f>+SUM(AM17:AM20)</f>
        <v>1526</v>
      </c>
      <c r="AN21" s="57"/>
      <c r="AO21" s="41">
        <f>+SUM(AO17:AO20)</f>
        <v>1519</v>
      </c>
      <c r="AP21" s="57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</row>
    <row r="22" spans="1:84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</row>
    <row r="23" spans="1:84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</row>
    <row r="24" spans="1:84" x14ac:dyDescent="0.2">
      <c r="A24" s="7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</row>
    <row r="25" spans="1:84" x14ac:dyDescent="0.2">
      <c r="A25" s="21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</row>
    <row r="26" spans="1:84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</row>
    <row r="27" spans="1:84" x14ac:dyDescent="0.2"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</row>
    <row r="28" spans="1:84" x14ac:dyDescent="0.2"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</row>
    <row r="29" spans="1:8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</row>
    <row r="30" spans="1:8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</row>
    <row r="31" spans="1:8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</row>
    <row r="32" spans="1:84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</row>
    <row r="33" spans="1:4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</row>
    <row r="34" spans="1:42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</row>
    <row r="35" spans="1:42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</row>
    <row r="36" spans="1:42" x14ac:dyDescent="0.2">
      <c r="A36" s="3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</row>
    <row r="37" spans="1:42" x14ac:dyDescent="0.2">
      <c r="A37" s="4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</row>
    <row r="38" spans="1:42" x14ac:dyDescent="0.2">
      <c r="A38" s="4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</row>
    <row r="39" spans="1:42" x14ac:dyDescent="0.2">
      <c r="A39" s="4"/>
    </row>
    <row r="40" spans="1:42" x14ac:dyDescent="0.2">
      <c r="A40" s="3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Y18" sqref="C16:Y18"/>
      <colBreaks count="1" manualBreakCount="1">
        <brk id="25" max="1048575" man="1"/>
      </colBreaks>
      <pageMargins left="0.75" right="0.75" top="1" bottom="1" header="0.5" footer="0.5"/>
      <pageSetup paperSize="5" scale="75" fitToWidth="2" fitToHeight="2" orientation="landscape" r:id="rId1"/>
      <headerFooter alignWithMargins="0">
        <oddHeader>&amp;C&amp;"Arial,Bold"&amp;11City of Ventnor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B6" activePane="bottomRight" state="frozen"/>
      <selection pane="bottomRight" activeCell="G11" sqref="G11"/>
      <colBreaks count="1" manualBreakCount="1">
        <brk id="25" max="1048575" man="1"/>
      </colBreaks>
      <pageMargins left="0.75" right="0.75" top="1" bottom="1" header="0.5" footer="0.5"/>
      <pageSetup paperSize="5" scale="75" fitToWidth="2" fitToHeight="2" orientation="landscape" r:id="rId2"/>
      <headerFooter alignWithMargins="0">
        <oddHeader>&amp;C&amp;"Arial,Bold"&amp;11City of Ventnor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B6" activePane="bottomRight" state="frozen"/>
      <selection pane="bottomRight" activeCell="G11" sqref="G11"/>
      <colBreaks count="1" manualBreakCount="1">
        <brk id="25" max="1048575" man="1"/>
      </colBreaks>
      <pageMargins left="0.75" right="0.75" top="1" bottom="1" header="0.5" footer="0.5"/>
      <pageSetup paperSize="5" scale="75" fitToWidth="2" fitToHeight="2" orientation="landscape" r:id="rId3"/>
      <headerFooter alignWithMargins="0">
        <oddHeader>&amp;C&amp;"Arial,Bold"&amp;11City of Ventnor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B6" activePane="bottomRight" state="frozen"/>
      <selection pane="bottomRight" activeCell="G11" sqref="G11"/>
      <colBreaks count="1" manualBreakCount="1">
        <brk id="25" max="1048575" man="1"/>
      </colBreaks>
      <pageMargins left="0.75" right="0.75" top="1" bottom="1" header="0.5" footer="0.5"/>
      <pageSetup paperSize="5" scale="75" fitToWidth="2" fitToHeight="2" orientation="landscape" r:id="rId4"/>
      <headerFooter alignWithMargins="0">
        <oddHeader>&amp;C&amp;"Arial,Bold"&amp;11City of Ventnor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B6" activePane="bottomRight" state="frozen"/>
      <selection pane="bottomRight" activeCell="G11" sqref="G11"/>
      <colBreaks count="1" manualBreakCount="1">
        <brk id="25" max="1048575" man="1"/>
      </colBreaks>
      <pageMargins left="0.75" right="0.75" top="1" bottom="1" header="0.5" footer="0.5"/>
      <pageSetup paperSize="5" scale="75" fitToWidth="2" fitToHeight="2" orientation="landscape" r:id="rId5"/>
      <headerFooter alignWithMargins="0">
        <oddHeader>&amp;C&amp;"Arial,Bold"&amp;11City of Ventnor
General Election - November 3, 2015
Prepared by the Office of Edward P. McGettigan, Atlantic County Clerk</oddHeader>
        <oddFooter>&amp;R&amp;11Page &amp;P</oddFooter>
      </headerFooter>
    </customSheetView>
  </customSheetViews>
  <mergeCells count="5">
    <mergeCell ref="C5:Q5"/>
    <mergeCell ref="S5:AC5"/>
    <mergeCell ref="AE5:AG5"/>
    <mergeCell ref="AI5:AK5"/>
    <mergeCell ref="AM5:AO5"/>
  </mergeCells>
  <phoneticPr fontId="0" type="noConversion"/>
  <pageMargins left="0.75" right="0.75" top="1" bottom="1" header="0.5" footer="0.5"/>
  <pageSetup paperSize="5" scale="75" fitToWidth="2" fitToHeight="2" orientation="landscape" r:id="rId6"/>
  <headerFooter alignWithMargins="0">
    <oddHeader>&amp;C&amp;"Arial,Bold"&amp;11City of Ventnor
General Election - November 6, 2018
Prepared by the Office of Edward P. McGettigan, Atlantic County Clerk</oddHeader>
    <oddFooter>&amp;R&amp;11Page &amp;P</oddFooter>
  </headerFooter>
  <colBreaks count="1" manualBreakCount="1">
    <brk id="29" max="21" man="1"/>
  </colBreaks>
  <drawing r:id="rId7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CU32"/>
  <sheetViews>
    <sheetView zoomScale="75" zoomScaleNormal="75" zoomScaleSheetLayoutView="75" workbookViewId="0">
      <pane xSplit="1" ySplit="10" topLeftCell="B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44" sqref="A44"/>
    </sheetView>
  </sheetViews>
  <sheetFormatPr defaultRowHeight="12.75" x14ac:dyDescent="0.2"/>
  <cols>
    <col min="1" max="1" width="12" style="61" customWidth="1"/>
    <col min="2" max="2" width="1.7109375" style="37" customWidth="1"/>
    <col min="3" max="3" width="12.140625" style="63" customWidth="1"/>
    <col min="4" max="4" width="1.7109375" style="63" customWidth="1"/>
    <col min="5" max="5" width="12.140625" style="63" customWidth="1"/>
    <col min="6" max="6" width="1.7109375" style="63" customWidth="1"/>
    <col min="7" max="7" width="14.85546875" style="63" customWidth="1"/>
    <col min="8" max="8" width="1.7109375" style="63" customWidth="1"/>
    <col min="9" max="9" width="12.140625" style="63" customWidth="1"/>
    <col min="10" max="10" width="1.7109375" style="63" customWidth="1"/>
    <col min="11" max="11" width="14.85546875" style="63" customWidth="1"/>
    <col min="12" max="12" width="1.7109375" style="63" customWidth="1"/>
    <col min="13" max="13" width="12.140625" style="63" customWidth="1"/>
    <col min="14" max="14" width="1.7109375" style="63" customWidth="1"/>
    <col min="15" max="15" width="12.140625" style="63" customWidth="1"/>
    <col min="16" max="16" width="1.7109375" style="63" customWidth="1"/>
    <col min="17" max="17" width="13.7109375" style="63" customWidth="1"/>
    <col min="18" max="18" width="1.7109375" style="63" customWidth="1"/>
    <col min="19" max="19" width="13" style="63" customWidth="1"/>
    <col min="20" max="20" width="1.7109375" style="63" customWidth="1"/>
    <col min="21" max="21" width="12.140625" style="63" customWidth="1"/>
    <col min="22" max="22" width="1.7109375" style="63" customWidth="1"/>
    <col min="23" max="23" width="12.140625" style="63" customWidth="1"/>
    <col min="24" max="24" width="1.7109375" style="63" customWidth="1"/>
    <col min="25" max="25" width="12.140625" style="63" customWidth="1"/>
    <col min="26" max="26" width="1.7109375" style="63" customWidth="1"/>
    <col min="27" max="27" width="12.140625" style="63" customWidth="1"/>
    <col min="28" max="28" width="1.7109375" style="63" customWidth="1"/>
    <col min="29" max="29" width="11.85546875" style="63" customWidth="1"/>
    <col min="30" max="30" width="1.7109375" style="63" customWidth="1"/>
    <col min="31" max="31" width="13.140625" style="63" customWidth="1"/>
    <col min="32" max="32" width="1.7109375" style="63" customWidth="1"/>
    <col min="33" max="33" width="13.7109375" style="63" bestFit="1" customWidth="1"/>
    <col min="34" max="34" width="1.7109375" style="63" customWidth="1"/>
    <col min="35" max="35" width="13.140625" style="63" customWidth="1"/>
    <col min="36" max="36" width="1.7109375" style="63" customWidth="1"/>
    <col min="37" max="37" width="13.140625" style="63" customWidth="1"/>
    <col min="38" max="38" width="1.7109375" style="63" customWidth="1"/>
    <col min="39" max="39" width="13.140625" style="63" customWidth="1"/>
    <col min="40" max="40" width="1.7109375" style="63" customWidth="1"/>
    <col min="41" max="41" width="13.140625" style="63" customWidth="1"/>
    <col min="42" max="42" width="1.7109375" style="63" customWidth="1"/>
    <col min="43" max="43" width="13.140625" style="63" customWidth="1"/>
    <col min="44" max="44" width="1.7109375" style="63" customWidth="1"/>
    <col min="45" max="45" width="16.85546875" style="63" bestFit="1" customWidth="1"/>
    <col min="46" max="46" width="1.7109375" style="63" customWidth="1"/>
    <col min="47" max="47" width="13.140625" style="63" customWidth="1"/>
    <col min="48" max="48" width="1.7109375" style="63" customWidth="1"/>
    <col min="49" max="49" width="9.7109375" style="63" customWidth="1"/>
    <col min="50" max="50" width="1.7109375" style="63" customWidth="1"/>
    <col min="51" max="51" width="9.7109375" style="63" customWidth="1"/>
    <col min="52" max="52" width="1.7109375" style="63" customWidth="1"/>
    <col min="53" max="53" width="12.140625" style="63" customWidth="1"/>
    <col min="54" max="54" width="1.7109375" style="110" customWidth="1"/>
    <col min="55" max="55" width="12.140625" style="110" customWidth="1"/>
    <col min="56" max="56" width="1.7109375" style="110" customWidth="1"/>
    <col min="57" max="57" width="10.85546875" style="110" bestFit="1" customWidth="1"/>
    <col min="58" max="58" width="1.7109375" style="35" customWidth="1"/>
    <col min="59" max="59" width="11.140625" style="35" customWidth="1"/>
    <col min="60" max="60" width="1.7109375" style="35" customWidth="1"/>
    <col min="61" max="61" width="12.140625" style="35" customWidth="1"/>
    <col min="62" max="62" width="9.140625" style="35"/>
    <col min="63" max="63" width="1.7109375" style="35" customWidth="1"/>
    <col min="64" max="64" width="9.140625" style="35"/>
    <col min="65" max="65" width="1.7109375" style="35" customWidth="1"/>
    <col min="66" max="66" width="9.140625" style="35"/>
    <col min="67" max="67" width="1.7109375" style="35" customWidth="1"/>
    <col min="68" max="68" width="9.140625" style="35"/>
    <col min="69" max="69" width="1.7109375" style="35" customWidth="1"/>
    <col min="70" max="99" width="9.140625" style="35"/>
    <col min="100" max="16384" width="9.140625" style="37"/>
  </cols>
  <sheetData>
    <row r="1" spans="1:99" s="407" customFormat="1" ht="15" x14ac:dyDescent="0.25">
      <c r="A1" s="309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  <c r="AH1" s="408"/>
      <c r="AI1" s="408"/>
      <c r="AJ1" s="408"/>
      <c r="AK1" s="408"/>
      <c r="AL1" s="408"/>
      <c r="AM1" s="408"/>
      <c r="AN1" s="408"/>
      <c r="AO1" s="408"/>
      <c r="AP1" s="408"/>
      <c r="AQ1" s="408"/>
      <c r="AR1" s="408"/>
      <c r="AS1" s="408"/>
      <c r="AT1" s="408"/>
      <c r="AU1" s="408"/>
      <c r="AV1" s="408"/>
      <c r="AW1" s="408"/>
      <c r="AX1" s="408"/>
      <c r="AY1" s="408"/>
      <c r="AZ1" s="408"/>
      <c r="BA1" s="408"/>
      <c r="BB1" s="360"/>
      <c r="BC1" s="360"/>
      <c r="BD1" s="360"/>
      <c r="BE1" s="360"/>
      <c r="BF1" s="373"/>
      <c r="BG1" s="409"/>
      <c r="BH1" s="409"/>
      <c r="BI1" s="409"/>
      <c r="BJ1" s="409"/>
      <c r="BK1" s="409"/>
      <c r="BL1" s="409"/>
      <c r="BM1" s="409"/>
      <c r="BN1" s="409"/>
      <c r="BO1" s="409"/>
      <c r="BP1" s="409"/>
      <c r="BQ1" s="409"/>
      <c r="BR1" s="409"/>
      <c r="BS1" s="409"/>
      <c r="BT1" s="409"/>
      <c r="BU1" s="409"/>
      <c r="BV1" s="409"/>
      <c r="BW1" s="409"/>
      <c r="BX1" s="409"/>
      <c r="BY1" s="409"/>
      <c r="BZ1" s="409"/>
      <c r="CA1" s="409"/>
      <c r="CB1" s="409"/>
      <c r="CC1" s="409"/>
      <c r="CD1" s="409"/>
      <c r="CE1" s="409"/>
      <c r="CF1" s="409"/>
      <c r="CG1" s="409"/>
      <c r="CH1" s="409"/>
      <c r="CI1" s="409"/>
      <c r="CJ1" s="409"/>
      <c r="CK1" s="409"/>
      <c r="CL1" s="409"/>
      <c r="CM1" s="409"/>
      <c r="CN1" s="409"/>
      <c r="CO1" s="409"/>
      <c r="CP1" s="409"/>
      <c r="CQ1" s="409"/>
      <c r="CR1" s="409"/>
      <c r="CS1" s="409"/>
      <c r="CT1" s="409"/>
      <c r="CU1" s="409"/>
    </row>
    <row r="2" spans="1:99" s="407" customFormat="1" ht="15" x14ac:dyDescent="0.25">
      <c r="A2" s="309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  <c r="AQ2" s="408"/>
      <c r="AR2" s="408"/>
      <c r="AS2" s="408"/>
      <c r="AT2" s="408"/>
      <c r="AU2" s="408"/>
      <c r="AV2" s="408"/>
      <c r="AW2" s="408"/>
      <c r="AX2" s="408"/>
      <c r="AY2" s="408"/>
      <c r="AZ2" s="408"/>
      <c r="BA2" s="408"/>
      <c r="BB2" s="360"/>
      <c r="BC2" s="360"/>
      <c r="BD2" s="360"/>
      <c r="BE2" s="360"/>
      <c r="BF2" s="373"/>
      <c r="BG2" s="409"/>
      <c r="BH2" s="409"/>
      <c r="BI2" s="409"/>
      <c r="BJ2" s="409"/>
      <c r="BK2" s="409"/>
      <c r="BL2" s="409"/>
      <c r="BM2" s="409"/>
      <c r="BN2" s="409"/>
      <c r="BO2" s="409"/>
      <c r="BP2" s="409"/>
      <c r="BQ2" s="409"/>
      <c r="BR2" s="409"/>
      <c r="BS2" s="409"/>
      <c r="BT2" s="409"/>
      <c r="BU2" s="409"/>
      <c r="BV2" s="409"/>
      <c r="BW2" s="409"/>
      <c r="BX2" s="409"/>
      <c r="BY2" s="409"/>
      <c r="BZ2" s="409"/>
      <c r="CA2" s="409"/>
      <c r="CB2" s="409"/>
      <c r="CC2" s="409"/>
      <c r="CD2" s="409"/>
      <c r="CE2" s="409"/>
      <c r="CF2" s="409"/>
      <c r="CG2" s="409"/>
      <c r="CH2" s="409"/>
      <c r="CI2" s="409"/>
      <c r="CJ2" s="409"/>
      <c r="CK2" s="409"/>
      <c r="CL2" s="409"/>
      <c r="CM2" s="409"/>
      <c r="CN2" s="409"/>
      <c r="CO2" s="409"/>
      <c r="CP2" s="409"/>
      <c r="CQ2" s="409"/>
      <c r="CR2" s="409"/>
      <c r="CS2" s="409"/>
      <c r="CT2" s="409"/>
      <c r="CU2" s="409"/>
    </row>
    <row r="3" spans="1:99" s="407" customFormat="1" ht="15" x14ac:dyDescent="0.25">
      <c r="A3" s="309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  <c r="AN3" s="408"/>
      <c r="AO3" s="408"/>
      <c r="AP3" s="408"/>
      <c r="AQ3" s="408"/>
      <c r="AR3" s="408"/>
      <c r="AS3" s="408"/>
      <c r="AT3" s="408"/>
      <c r="AU3" s="408"/>
      <c r="AV3" s="408"/>
      <c r="AW3" s="408"/>
      <c r="AX3" s="408"/>
      <c r="AY3" s="408"/>
      <c r="AZ3" s="408"/>
      <c r="BA3" s="408"/>
      <c r="BB3" s="360"/>
      <c r="BC3" s="360"/>
      <c r="BD3" s="360"/>
      <c r="BE3" s="360"/>
      <c r="BF3" s="373"/>
      <c r="BG3" s="409"/>
      <c r="BH3" s="409"/>
      <c r="BI3" s="409"/>
      <c r="BJ3" s="409"/>
      <c r="BK3" s="409"/>
      <c r="BL3" s="409"/>
      <c r="BM3" s="409"/>
      <c r="BN3" s="409"/>
      <c r="BO3" s="409"/>
      <c r="BP3" s="409"/>
      <c r="BQ3" s="409"/>
      <c r="BR3" s="409"/>
      <c r="BS3" s="409"/>
      <c r="BT3" s="409"/>
      <c r="BU3" s="409"/>
      <c r="BV3" s="409"/>
      <c r="BW3" s="409"/>
      <c r="BX3" s="409"/>
      <c r="BY3" s="409"/>
      <c r="BZ3" s="409"/>
      <c r="CA3" s="409"/>
      <c r="CB3" s="409"/>
      <c r="CC3" s="409"/>
      <c r="CD3" s="409"/>
      <c r="CE3" s="409"/>
      <c r="CF3" s="409"/>
      <c r="CG3" s="409"/>
      <c r="CH3" s="409"/>
      <c r="CI3" s="409"/>
      <c r="CJ3" s="409"/>
      <c r="CK3" s="409"/>
      <c r="CL3" s="409"/>
      <c r="CM3" s="409"/>
      <c r="CN3" s="409"/>
      <c r="CO3" s="409"/>
      <c r="CP3" s="409"/>
      <c r="CQ3" s="409"/>
      <c r="CR3" s="409"/>
      <c r="CS3" s="409"/>
      <c r="CT3" s="409"/>
      <c r="CU3" s="409"/>
    </row>
    <row r="4" spans="1:99" s="407" customFormat="1" ht="15" x14ac:dyDescent="0.25">
      <c r="A4" s="362"/>
      <c r="B4" s="372"/>
      <c r="C4" s="314"/>
      <c r="D4" s="314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H4" s="310"/>
      <c r="AI4" s="310"/>
      <c r="AJ4" s="310"/>
      <c r="AK4" s="310"/>
      <c r="AL4" s="324"/>
      <c r="AM4" s="324"/>
      <c r="AN4" s="324"/>
      <c r="AO4" s="324"/>
      <c r="AP4" s="324"/>
      <c r="AQ4" s="324"/>
      <c r="AR4" s="324"/>
      <c r="AS4" s="324"/>
      <c r="AT4" s="324"/>
      <c r="AU4" s="324"/>
      <c r="AV4" s="324"/>
      <c r="AW4" s="321"/>
      <c r="AX4" s="321"/>
      <c r="AY4" s="321"/>
      <c r="AZ4" s="321"/>
      <c r="BA4" s="408"/>
      <c r="BB4" s="360"/>
      <c r="BC4" s="360"/>
      <c r="BD4" s="360"/>
      <c r="BE4" s="360"/>
      <c r="BF4" s="373"/>
      <c r="BG4" s="409"/>
      <c r="BH4" s="409"/>
      <c r="BI4" s="409"/>
      <c r="BJ4" s="409"/>
      <c r="BK4" s="409"/>
      <c r="BL4" s="409"/>
      <c r="BM4" s="409"/>
      <c r="BN4" s="409"/>
      <c r="BO4" s="409"/>
      <c r="BP4" s="409"/>
      <c r="BQ4" s="409"/>
      <c r="BR4" s="409"/>
      <c r="BS4" s="409"/>
      <c r="BT4" s="409"/>
      <c r="BU4" s="409"/>
      <c r="BV4" s="409"/>
      <c r="BW4" s="409"/>
      <c r="BX4" s="409"/>
      <c r="BY4" s="409"/>
      <c r="BZ4" s="409"/>
      <c r="CA4" s="409"/>
      <c r="CB4" s="409"/>
      <c r="CC4" s="409"/>
      <c r="CD4" s="409"/>
      <c r="CE4" s="409"/>
      <c r="CF4" s="409"/>
      <c r="CG4" s="409"/>
      <c r="CH4" s="409"/>
      <c r="CI4" s="409"/>
      <c r="CJ4" s="409"/>
      <c r="CK4" s="409"/>
      <c r="CL4" s="409"/>
      <c r="CM4" s="409"/>
      <c r="CN4" s="409"/>
      <c r="CO4" s="409"/>
      <c r="CP4" s="409"/>
      <c r="CQ4" s="409"/>
      <c r="CR4" s="409"/>
      <c r="CS4" s="409"/>
      <c r="CT4" s="409"/>
      <c r="CU4" s="409"/>
    </row>
    <row r="5" spans="1:99" s="407" customFormat="1" ht="15.75" thickBot="1" x14ac:dyDescent="0.3">
      <c r="A5" s="362"/>
      <c r="B5" s="372"/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142"/>
      <c r="AE5" s="470" t="s">
        <v>80</v>
      </c>
      <c r="AF5" s="470"/>
      <c r="AG5" s="470"/>
      <c r="AH5" s="376"/>
      <c r="AI5" s="471" t="s">
        <v>185</v>
      </c>
      <c r="AJ5" s="471"/>
      <c r="AK5" s="471"/>
      <c r="AL5" s="323"/>
      <c r="AM5" s="464" t="s">
        <v>110</v>
      </c>
      <c r="AN5" s="464"/>
      <c r="AO5" s="464"/>
      <c r="AP5" s="323"/>
      <c r="AQ5" s="464" t="s">
        <v>114</v>
      </c>
      <c r="AR5" s="464"/>
      <c r="AS5" s="464"/>
      <c r="AT5" s="464"/>
      <c r="AU5" s="464"/>
      <c r="AV5" s="408"/>
      <c r="AW5" s="457" t="s">
        <v>196</v>
      </c>
      <c r="AX5" s="457"/>
      <c r="AY5" s="457"/>
      <c r="AZ5" s="135"/>
      <c r="BA5" s="409"/>
      <c r="BB5" s="409"/>
      <c r="BC5" s="409"/>
      <c r="BD5" s="409"/>
      <c r="BE5" s="409"/>
      <c r="BF5" s="409"/>
      <c r="BG5" s="409"/>
      <c r="BH5" s="409"/>
      <c r="BI5" s="409"/>
      <c r="BJ5" s="409"/>
      <c r="BK5" s="409"/>
      <c r="BL5" s="409"/>
      <c r="BM5" s="409"/>
      <c r="BN5" s="409"/>
      <c r="BO5" s="409"/>
      <c r="BP5" s="409"/>
      <c r="BQ5" s="409"/>
      <c r="BR5" s="409"/>
      <c r="BS5" s="409"/>
      <c r="BT5" s="409"/>
      <c r="BU5" s="409"/>
      <c r="BV5" s="409"/>
      <c r="BW5" s="409"/>
      <c r="BX5" s="409"/>
      <c r="BY5" s="409"/>
      <c r="BZ5" s="409"/>
      <c r="CA5" s="409"/>
      <c r="CB5" s="409"/>
      <c r="CC5" s="409"/>
      <c r="CD5" s="409"/>
      <c r="CE5" s="409"/>
      <c r="CF5" s="409"/>
      <c r="CG5" s="409"/>
      <c r="CH5" s="409"/>
      <c r="CI5" s="409"/>
      <c r="CJ5" s="409"/>
      <c r="CK5" s="409"/>
      <c r="CL5" s="409"/>
      <c r="CM5" s="409"/>
      <c r="CN5" s="409"/>
      <c r="CO5" s="409"/>
      <c r="CP5" s="409"/>
      <c r="CQ5" s="409"/>
      <c r="CR5" s="409"/>
      <c r="CS5" s="409"/>
      <c r="CT5" s="409"/>
      <c r="CU5" s="409"/>
    </row>
    <row r="6" spans="1:99" s="96" customFormat="1" ht="15" x14ac:dyDescent="0.2">
      <c r="A6" s="61"/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142"/>
      <c r="AE6" s="172"/>
      <c r="AF6" s="173"/>
      <c r="AG6" s="174"/>
      <c r="AH6" s="267"/>
      <c r="AI6" s="386"/>
      <c r="AJ6" s="387"/>
      <c r="AK6" s="388" t="str">
        <f>+'Lead Sheet '!AO4</f>
        <v>Barbara</v>
      </c>
      <c r="AL6" s="290"/>
      <c r="AM6" s="103"/>
      <c r="AN6" s="104"/>
      <c r="AO6" s="102" t="s">
        <v>107</v>
      </c>
      <c r="AP6" s="290"/>
      <c r="AQ6" s="122" t="s">
        <v>446</v>
      </c>
      <c r="AR6" s="170"/>
      <c r="AS6" s="93"/>
      <c r="AT6" s="93"/>
      <c r="AU6" s="91"/>
      <c r="AW6" s="172"/>
      <c r="AX6" s="173"/>
      <c r="AY6" s="174"/>
      <c r="AZ6" s="150"/>
      <c r="BA6" s="79"/>
      <c r="BB6" s="77"/>
      <c r="BC6" s="81"/>
      <c r="BD6" s="77"/>
      <c r="BE6" s="81"/>
      <c r="BF6" s="77"/>
      <c r="BG6" s="81"/>
      <c r="BH6" s="77"/>
      <c r="BI6" s="82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</row>
    <row r="7" spans="1:99" s="96" customFormat="1" ht="15" x14ac:dyDescent="0.25">
      <c r="A7" s="61"/>
      <c r="C7" s="90" t="str">
        <f>+'Lead Sheet '!C5</f>
        <v>Bob</v>
      </c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90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90"/>
      <c r="AG7" s="97" t="str">
        <f>+'Lead Sheet '!AG5</f>
        <v>Celeste</v>
      </c>
      <c r="AH7" s="290"/>
      <c r="AI7" s="106" t="str">
        <f>+'Lead Sheet '!AM5</f>
        <v>James</v>
      </c>
      <c r="AJ7" s="290"/>
      <c r="AK7" s="107" t="str">
        <f>+'Lead Sheet '!AO5</f>
        <v>BUTTERHOF</v>
      </c>
      <c r="AL7" s="290"/>
      <c r="AM7" s="106" t="s">
        <v>444</v>
      </c>
      <c r="AN7" s="290"/>
      <c r="AO7" s="107" t="s">
        <v>118</v>
      </c>
      <c r="AP7" s="290"/>
      <c r="AQ7" s="106" t="s">
        <v>447</v>
      </c>
      <c r="AR7" s="150"/>
      <c r="AS7" s="445" t="s">
        <v>449</v>
      </c>
      <c r="AU7" s="234" t="s">
        <v>469</v>
      </c>
      <c r="AW7" s="155"/>
      <c r="AX7" s="324"/>
      <c r="AY7" s="156"/>
      <c r="AZ7" s="150"/>
      <c r="BA7" s="78" t="s">
        <v>24</v>
      </c>
      <c r="BB7" s="76"/>
      <c r="BC7" s="83" t="s">
        <v>24</v>
      </c>
      <c r="BD7" s="76"/>
      <c r="BE7" s="83" t="s">
        <v>24</v>
      </c>
      <c r="BF7" s="76"/>
      <c r="BG7" s="83" t="s">
        <v>24</v>
      </c>
      <c r="BH7" s="76"/>
      <c r="BI7" s="84" t="s">
        <v>24</v>
      </c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</row>
    <row r="8" spans="1:99" s="96" customFormat="1" ht="14.25" x14ac:dyDescent="0.2">
      <c r="A8" s="61" t="s">
        <v>91</v>
      </c>
      <c r="C8" s="90" t="str">
        <f>+'Lead Sheet '!C6</f>
        <v>HUGIN</v>
      </c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90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90"/>
      <c r="AG8" s="97" t="str">
        <f>+'Lead Sheet '!AG6</f>
        <v>FERNANDEZ</v>
      </c>
      <c r="AH8" s="290"/>
      <c r="AI8" s="106" t="str">
        <f>+'Lead Sheet '!AM6</f>
        <v>BERTINO</v>
      </c>
      <c r="AJ8" s="290"/>
      <c r="AK8" s="107" t="str">
        <f>+'Lead Sheet '!AO6</f>
        <v>RHEAULT</v>
      </c>
      <c r="AL8" s="290"/>
      <c r="AM8" s="106" t="s">
        <v>445</v>
      </c>
      <c r="AN8" s="290"/>
      <c r="AO8" s="107" t="s">
        <v>119</v>
      </c>
      <c r="AP8" s="290"/>
      <c r="AQ8" s="106" t="s">
        <v>448</v>
      </c>
      <c r="AR8" s="150"/>
      <c r="AS8" s="96" t="s">
        <v>450</v>
      </c>
      <c r="AU8" s="97" t="s">
        <v>470</v>
      </c>
      <c r="AW8" s="315" t="s">
        <v>106</v>
      </c>
      <c r="AX8" s="143"/>
      <c r="AY8" s="316" t="s">
        <v>107</v>
      </c>
      <c r="AZ8" s="150"/>
      <c r="BA8" s="78" t="s">
        <v>83</v>
      </c>
      <c r="BB8" s="76"/>
      <c r="BC8" s="83" t="s">
        <v>84</v>
      </c>
      <c r="BD8" s="76"/>
      <c r="BE8" s="83" t="s">
        <v>85</v>
      </c>
      <c r="BF8" s="76"/>
      <c r="BG8" s="83" t="s">
        <v>86</v>
      </c>
      <c r="BH8" s="76"/>
      <c r="BI8" s="84" t="s">
        <v>87</v>
      </c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</row>
    <row r="9" spans="1:99" s="96" customFormat="1" ht="14.25" x14ac:dyDescent="0.2">
      <c r="A9" s="61" t="s">
        <v>92</v>
      </c>
      <c r="C9" s="90" t="str">
        <f>+'Lead Sheet '!C7</f>
        <v>Republican</v>
      </c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90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90"/>
      <c r="AG9" s="97" t="str">
        <f>+'Lead Sheet '!AG7</f>
        <v>Democratic</v>
      </c>
      <c r="AH9" s="290"/>
      <c r="AI9" s="106" t="str">
        <f>+'Lead Sheet '!AM7</f>
        <v>Republican</v>
      </c>
      <c r="AJ9" s="290"/>
      <c r="AK9" s="107" t="str">
        <f>+'Lead Sheet '!AO7</f>
        <v>Democratic</v>
      </c>
      <c r="AL9" s="290"/>
      <c r="AM9" s="106" t="s">
        <v>93</v>
      </c>
      <c r="AN9" s="290"/>
      <c r="AO9" s="107" t="s">
        <v>99</v>
      </c>
      <c r="AP9" s="290"/>
      <c r="AQ9" s="106"/>
      <c r="AR9" s="150"/>
      <c r="AU9" s="97"/>
      <c r="AW9" s="296"/>
      <c r="AX9" s="295"/>
      <c r="AY9" s="297"/>
      <c r="AZ9" s="150"/>
      <c r="BA9" s="78" t="s">
        <v>89</v>
      </c>
      <c r="BB9" s="76"/>
      <c r="BC9" s="83" t="s">
        <v>90</v>
      </c>
      <c r="BD9" s="76"/>
      <c r="BE9" s="83" t="s">
        <v>89</v>
      </c>
      <c r="BF9" s="76"/>
      <c r="BG9" s="83" t="s">
        <v>89</v>
      </c>
      <c r="BH9" s="76"/>
      <c r="BI9" s="84" t="s">
        <v>89</v>
      </c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</row>
    <row r="10" spans="1:99" s="96" customFormat="1" ht="15" thickBot="1" x14ac:dyDescent="0.25">
      <c r="A10" s="61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90"/>
      <c r="AM10" s="120"/>
      <c r="AN10" s="289"/>
      <c r="AO10" s="200"/>
      <c r="AP10" s="290"/>
      <c r="AQ10" s="120"/>
      <c r="AR10" s="180"/>
      <c r="AS10" s="99"/>
      <c r="AT10" s="99"/>
      <c r="AU10" s="101"/>
      <c r="AW10" s="146"/>
      <c r="AX10" s="144"/>
      <c r="AY10" s="145"/>
      <c r="AZ10" s="150"/>
      <c r="BA10" s="80"/>
      <c r="BB10" s="85"/>
      <c r="BC10" s="85"/>
      <c r="BD10" s="85"/>
      <c r="BE10" s="85"/>
      <c r="BF10" s="85"/>
      <c r="BG10" s="85"/>
      <c r="BH10" s="85"/>
      <c r="BI10" s="86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</row>
    <row r="11" spans="1:99" x14ac:dyDescent="0.2">
      <c r="A11" s="61" t="s">
        <v>53</v>
      </c>
      <c r="C11" s="62">
        <f>122+158</f>
        <v>280</v>
      </c>
      <c r="D11" s="35"/>
      <c r="E11" s="62">
        <f>76+84</f>
        <v>160</v>
      </c>
      <c r="F11" s="35"/>
      <c r="G11" s="62">
        <f>4+4</f>
        <v>8</v>
      </c>
      <c r="H11" s="35"/>
      <c r="I11" s="62">
        <v>2</v>
      </c>
      <c r="J11" s="35"/>
      <c r="K11" s="62">
        <v>2</v>
      </c>
      <c r="L11" s="35"/>
      <c r="M11" s="62">
        <v>1</v>
      </c>
      <c r="N11" s="35"/>
      <c r="O11" s="62">
        <v>1</v>
      </c>
      <c r="P11" s="35"/>
      <c r="Q11" s="62">
        <v>0</v>
      </c>
      <c r="R11" s="35"/>
      <c r="S11" s="62">
        <f>104+136</f>
        <v>240</v>
      </c>
      <c r="T11" s="35"/>
      <c r="U11" s="62">
        <f>101+109</f>
        <v>210</v>
      </c>
      <c r="V11" s="35"/>
      <c r="W11" s="62">
        <f>1+1</f>
        <v>2</v>
      </c>
      <c r="X11" s="35"/>
      <c r="Y11" s="62">
        <v>1</v>
      </c>
      <c r="Z11" s="35"/>
      <c r="AA11" s="62">
        <v>2</v>
      </c>
      <c r="AB11" s="35"/>
      <c r="AC11" s="62">
        <v>1</v>
      </c>
      <c r="AD11" s="35"/>
      <c r="AE11" s="62">
        <f>121+149</f>
        <v>270</v>
      </c>
      <c r="AF11" s="35"/>
      <c r="AG11" s="62">
        <f>78+97</f>
        <v>175</v>
      </c>
      <c r="AH11" s="35"/>
      <c r="AI11" s="62">
        <f>116+148</f>
        <v>264</v>
      </c>
      <c r="AJ11" s="35"/>
      <c r="AK11" s="62">
        <f>86+98</f>
        <v>184</v>
      </c>
      <c r="AL11" s="35"/>
      <c r="AM11" s="62">
        <f>153+193</f>
        <v>346</v>
      </c>
      <c r="AN11" s="35"/>
      <c r="AO11" s="62"/>
      <c r="AP11" s="35"/>
      <c r="AQ11" s="62">
        <f>109+131</f>
        <v>240</v>
      </c>
      <c r="AR11" s="35"/>
      <c r="AS11" s="62">
        <f>84+98</f>
        <v>182</v>
      </c>
      <c r="AT11" s="35"/>
      <c r="AU11" s="62">
        <v>31</v>
      </c>
      <c r="AV11" s="35"/>
      <c r="AW11" s="62">
        <f>48+86</f>
        <v>134</v>
      </c>
      <c r="AX11" s="35"/>
      <c r="AY11" s="62">
        <f>136+142</f>
        <v>278</v>
      </c>
      <c r="AZ11" s="35"/>
      <c r="BA11" s="62">
        <f>207+254</f>
        <v>461</v>
      </c>
      <c r="BB11" s="63"/>
      <c r="BC11" s="62">
        <v>139</v>
      </c>
      <c r="BD11" s="63"/>
      <c r="BE11" s="62">
        <v>16</v>
      </c>
      <c r="BF11" s="110"/>
      <c r="BG11" s="62"/>
      <c r="BH11" s="110"/>
      <c r="BI11" s="62">
        <f>+SUM(BA11:BG11)</f>
        <v>616</v>
      </c>
    </row>
    <row r="12" spans="1:99" x14ac:dyDescent="0.2">
      <c r="A12" s="61" t="s">
        <v>54</v>
      </c>
      <c r="C12" s="60">
        <f>175+213</f>
        <v>388</v>
      </c>
      <c r="D12" s="35"/>
      <c r="E12" s="60">
        <f>104+116</f>
        <v>220</v>
      </c>
      <c r="F12" s="35"/>
      <c r="G12" s="60">
        <f>5+4</f>
        <v>9</v>
      </c>
      <c r="H12" s="35"/>
      <c r="I12" s="60">
        <f>3+1</f>
        <v>4</v>
      </c>
      <c r="J12" s="35"/>
      <c r="K12" s="60">
        <v>1</v>
      </c>
      <c r="L12" s="35"/>
      <c r="M12" s="60">
        <f>1+5</f>
        <v>6</v>
      </c>
      <c r="N12" s="35"/>
      <c r="O12" s="60">
        <v>2</v>
      </c>
      <c r="P12" s="35"/>
      <c r="Q12" s="60">
        <v>1</v>
      </c>
      <c r="R12" s="35"/>
      <c r="S12" s="60">
        <f>144+163</f>
        <v>307</v>
      </c>
      <c r="T12" s="35"/>
      <c r="U12" s="60">
        <f>145+176</f>
        <v>321</v>
      </c>
      <c r="V12" s="35"/>
      <c r="W12" s="60">
        <v>2</v>
      </c>
      <c r="X12" s="35"/>
      <c r="Y12" s="60">
        <v>2</v>
      </c>
      <c r="Z12" s="35"/>
      <c r="AA12" s="60">
        <f>1+1</f>
        <v>2</v>
      </c>
      <c r="AB12" s="35"/>
      <c r="AC12" s="60">
        <f>1+2</f>
        <v>3</v>
      </c>
      <c r="AD12" s="35"/>
      <c r="AE12" s="60">
        <f>175+208</f>
        <v>383</v>
      </c>
      <c r="AF12" s="35"/>
      <c r="AG12" s="60">
        <f>110+126</f>
        <v>236</v>
      </c>
      <c r="AH12" s="35"/>
      <c r="AI12" s="60">
        <f>166+198</f>
        <v>364</v>
      </c>
      <c r="AJ12" s="35"/>
      <c r="AK12" s="60">
        <f>115+137</f>
        <v>252</v>
      </c>
      <c r="AL12" s="35"/>
      <c r="AM12" s="60">
        <f>217+256</f>
        <v>473</v>
      </c>
      <c r="AN12" s="35"/>
      <c r="AO12" s="60"/>
      <c r="AP12" s="35"/>
      <c r="AQ12" s="60">
        <f>134+174</f>
        <v>308</v>
      </c>
      <c r="AR12" s="35"/>
      <c r="AS12" s="60">
        <f>117+157</f>
        <v>274</v>
      </c>
      <c r="AT12" s="35"/>
      <c r="AU12" s="60">
        <v>7</v>
      </c>
      <c r="AV12" s="35"/>
      <c r="AW12" s="60">
        <f>100+119</f>
        <v>219</v>
      </c>
      <c r="AX12" s="35"/>
      <c r="AY12" s="60">
        <f>164+177</f>
        <v>341</v>
      </c>
      <c r="AZ12" s="35"/>
      <c r="BA12" s="60">
        <f>298+353</f>
        <v>651</v>
      </c>
      <c r="BB12" s="63"/>
      <c r="BC12" s="60"/>
      <c r="BD12" s="63"/>
      <c r="BE12" s="60"/>
      <c r="BF12" s="110"/>
      <c r="BG12" s="60"/>
      <c r="BH12" s="110"/>
      <c r="BI12" s="62">
        <f>+SUM(BA12:BG12)</f>
        <v>651</v>
      </c>
    </row>
    <row r="13" spans="1:99" ht="13.5" thickBot="1" x14ac:dyDescent="0.25"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63"/>
      <c r="BC13" s="35"/>
      <c r="BD13" s="63"/>
      <c r="BE13" s="35"/>
      <c r="BF13" s="110"/>
      <c r="BH13" s="110"/>
    </row>
    <row r="14" spans="1:99" s="48" customFormat="1" ht="13.5" thickBot="1" x14ac:dyDescent="0.25">
      <c r="A14" s="3" t="s">
        <v>24</v>
      </c>
      <c r="C14" s="41">
        <f>+SUM(C11:C12)</f>
        <v>668</v>
      </c>
      <c r="D14" s="118"/>
      <c r="E14" s="41">
        <f>+SUM(E11:E12)</f>
        <v>380</v>
      </c>
      <c r="F14" s="118"/>
      <c r="G14" s="41">
        <f>+SUM(G11:G12)</f>
        <v>17</v>
      </c>
      <c r="H14" s="118"/>
      <c r="I14" s="41">
        <f>+SUM(I11:I12)</f>
        <v>6</v>
      </c>
      <c r="J14" s="118"/>
      <c r="K14" s="41">
        <f>+SUM(K11:K12)</f>
        <v>3</v>
      </c>
      <c r="L14" s="118"/>
      <c r="M14" s="41">
        <f>+SUM(M11:M12)</f>
        <v>7</v>
      </c>
      <c r="N14" s="118"/>
      <c r="O14" s="41">
        <f>+SUM(O11:O12)</f>
        <v>3</v>
      </c>
      <c r="P14" s="118"/>
      <c r="Q14" s="41">
        <f>+SUM(Q11:Q12)</f>
        <v>1</v>
      </c>
      <c r="R14" s="118"/>
      <c r="S14" s="41">
        <f>+SUM(S11:S12)</f>
        <v>547</v>
      </c>
      <c r="T14" s="118"/>
      <c r="U14" s="41">
        <f>+SUM(U11:U12)</f>
        <v>531</v>
      </c>
      <c r="V14" s="118"/>
      <c r="W14" s="41">
        <f>+SUM(W11:W12)</f>
        <v>4</v>
      </c>
      <c r="X14" s="118"/>
      <c r="Y14" s="41">
        <f>+SUM(Y11:Y12)</f>
        <v>3</v>
      </c>
      <c r="Z14" s="118"/>
      <c r="AA14" s="41">
        <f>+SUM(AA11:AA12)</f>
        <v>4</v>
      </c>
      <c r="AB14" s="118"/>
      <c r="AC14" s="41">
        <f>+SUM(AC11:AC12)</f>
        <v>4</v>
      </c>
      <c r="AD14" s="118"/>
      <c r="AE14" s="41">
        <f>+SUM(AE11:AE12)</f>
        <v>653</v>
      </c>
      <c r="AF14" s="118"/>
      <c r="AG14" s="41">
        <f>+SUM(AG11:AG12)</f>
        <v>411</v>
      </c>
      <c r="AH14" s="118"/>
      <c r="AI14" s="41">
        <f>+SUM(AI11:AI12)</f>
        <v>628</v>
      </c>
      <c r="AJ14" s="118"/>
      <c r="AK14" s="41">
        <f>+SUM(AK11:AK12)</f>
        <v>436</v>
      </c>
      <c r="AL14" s="118"/>
      <c r="AM14" s="41">
        <f>+SUM(AM11:AM12)</f>
        <v>819</v>
      </c>
      <c r="AN14" s="118"/>
      <c r="AO14" s="41">
        <f>+SUM(AO11:AO12)</f>
        <v>0</v>
      </c>
      <c r="AP14" s="118"/>
      <c r="AQ14" s="41">
        <f>+SUM(AQ11:AQ12)</f>
        <v>548</v>
      </c>
      <c r="AR14" s="118"/>
      <c r="AS14" s="41">
        <f>+SUM(AS11:AS12)</f>
        <v>456</v>
      </c>
      <c r="AT14" s="118"/>
      <c r="AU14" s="41">
        <f>+SUM(AU11:AU12)</f>
        <v>38</v>
      </c>
      <c r="AV14" s="118"/>
      <c r="AW14" s="41">
        <f>+SUM(AW11:AW12)</f>
        <v>353</v>
      </c>
      <c r="AX14" s="118"/>
      <c r="AY14" s="41">
        <f>+SUM(AY11:AY12)</f>
        <v>619</v>
      </c>
      <c r="AZ14" s="118"/>
      <c r="BA14" s="41">
        <f>+SUM(BA11:BA12)</f>
        <v>1112</v>
      </c>
      <c r="BB14" s="112"/>
      <c r="BC14" s="41">
        <f>+SUM(BC11:BC12)</f>
        <v>139</v>
      </c>
      <c r="BD14" s="112"/>
      <c r="BE14" s="41">
        <f>+SUM(BE11:BE12)</f>
        <v>16</v>
      </c>
      <c r="BF14" s="114"/>
      <c r="BG14" s="41">
        <f>+SUM(BG11:BG12)</f>
        <v>0</v>
      </c>
      <c r="BH14" s="114"/>
      <c r="BI14" s="41">
        <f>+SUM(BI11:BI12)</f>
        <v>1267</v>
      </c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</row>
    <row r="15" spans="1:99" x14ac:dyDescent="0.2">
      <c r="A15" s="36" t="s">
        <v>73</v>
      </c>
      <c r="C15" s="35">
        <v>80</v>
      </c>
      <c r="D15" s="35"/>
      <c r="E15" s="35">
        <v>52</v>
      </c>
      <c r="F15" s="35"/>
      <c r="G15" s="35">
        <v>1</v>
      </c>
      <c r="H15" s="35"/>
      <c r="I15" s="35">
        <v>0</v>
      </c>
      <c r="J15" s="35"/>
      <c r="K15" s="35">
        <v>2</v>
      </c>
      <c r="L15" s="35"/>
      <c r="M15" s="35">
        <v>0</v>
      </c>
      <c r="N15" s="35"/>
      <c r="O15" s="35">
        <v>1</v>
      </c>
      <c r="P15" s="35"/>
      <c r="Q15" s="35">
        <v>0</v>
      </c>
      <c r="R15" s="35"/>
      <c r="S15" s="35">
        <v>65</v>
      </c>
      <c r="T15" s="35"/>
      <c r="U15" s="35">
        <v>67</v>
      </c>
      <c r="V15" s="35"/>
      <c r="W15" s="35">
        <v>1</v>
      </c>
      <c r="X15" s="35"/>
      <c r="Y15" s="35">
        <v>1</v>
      </c>
      <c r="Z15" s="35"/>
      <c r="AA15" s="35">
        <v>0</v>
      </c>
      <c r="AB15" s="35"/>
      <c r="AC15" s="35">
        <v>1</v>
      </c>
      <c r="AD15" s="35"/>
      <c r="AE15" s="35">
        <v>83</v>
      </c>
      <c r="AF15" s="35"/>
      <c r="AG15" s="35">
        <v>54</v>
      </c>
      <c r="AH15" s="35"/>
      <c r="AI15" s="35">
        <v>73</v>
      </c>
      <c r="AJ15" s="35"/>
      <c r="AK15" s="35">
        <v>61</v>
      </c>
      <c r="AL15" s="35"/>
      <c r="AM15" s="35">
        <v>96</v>
      </c>
      <c r="AN15" s="35"/>
      <c r="AO15" s="35"/>
      <c r="AP15" s="35"/>
      <c r="AQ15" s="35">
        <v>74</v>
      </c>
      <c r="AR15" s="35"/>
      <c r="AS15" s="35">
        <v>68</v>
      </c>
      <c r="AT15" s="35"/>
      <c r="AU15" s="35">
        <v>1</v>
      </c>
      <c r="AV15" s="35"/>
      <c r="AW15" s="35">
        <v>64</v>
      </c>
      <c r="AX15" s="35"/>
      <c r="AY15" s="35">
        <v>69</v>
      </c>
      <c r="AZ15" s="35"/>
      <c r="BA15" s="35"/>
      <c r="BC15" s="35"/>
      <c r="BE15" s="35"/>
    </row>
    <row r="16" spans="1:99" x14ac:dyDescent="0.2">
      <c r="A16" s="36" t="s">
        <v>25</v>
      </c>
      <c r="C16" s="35">
        <v>5</v>
      </c>
      <c r="D16" s="35"/>
      <c r="E16" s="35">
        <v>6</v>
      </c>
      <c r="F16" s="35"/>
      <c r="G16" s="35">
        <v>0</v>
      </c>
      <c r="H16" s="35"/>
      <c r="I16" s="35">
        <v>1</v>
      </c>
      <c r="J16" s="35"/>
      <c r="K16" s="35">
        <v>0</v>
      </c>
      <c r="L16" s="35"/>
      <c r="M16" s="35">
        <v>0</v>
      </c>
      <c r="N16" s="35"/>
      <c r="O16" s="35">
        <v>0</v>
      </c>
      <c r="P16" s="35"/>
      <c r="Q16" s="35">
        <v>0</v>
      </c>
      <c r="R16" s="35"/>
      <c r="S16" s="35">
        <v>4</v>
      </c>
      <c r="T16" s="35"/>
      <c r="U16" s="35">
        <v>11</v>
      </c>
      <c r="V16" s="35"/>
      <c r="W16" s="35">
        <v>0</v>
      </c>
      <c r="X16" s="35"/>
      <c r="Y16" s="35">
        <v>0</v>
      </c>
      <c r="Z16" s="35"/>
      <c r="AA16" s="35">
        <v>0</v>
      </c>
      <c r="AB16" s="35"/>
      <c r="AC16" s="35">
        <v>0</v>
      </c>
      <c r="AD16" s="35"/>
      <c r="AE16" s="35">
        <v>5</v>
      </c>
      <c r="AF16" s="35"/>
      <c r="AG16" s="35">
        <v>9</v>
      </c>
      <c r="AH16" s="35"/>
      <c r="AI16" s="35">
        <v>4</v>
      </c>
      <c r="AJ16" s="35"/>
      <c r="AK16" s="35">
        <v>9</v>
      </c>
      <c r="AL16" s="35"/>
      <c r="AM16" s="35">
        <v>8</v>
      </c>
      <c r="AN16" s="35"/>
      <c r="AO16" s="35"/>
      <c r="AP16" s="35"/>
      <c r="AQ16" s="35">
        <v>10</v>
      </c>
      <c r="AR16" s="35"/>
      <c r="AS16" s="35">
        <v>4</v>
      </c>
      <c r="AT16" s="35"/>
      <c r="AU16" s="35">
        <v>1</v>
      </c>
      <c r="AV16" s="35"/>
      <c r="AW16" s="35">
        <v>10</v>
      </c>
      <c r="AX16" s="35"/>
      <c r="AY16" s="35">
        <v>5</v>
      </c>
      <c r="AZ16" s="35"/>
      <c r="BA16" s="35"/>
      <c r="BC16" s="35"/>
      <c r="BE16" s="35"/>
      <c r="BF16" s="20"/>
    </row>
    <row r="17" spans="1:99" ht="13.5" thickBot="1" x14ac:dyDescent="0.25">
      <c r="A17" s="36" t="s">
        <v>79</v>
      </c>
      <c r="C17" s="35">
        <v>0</v>
      </c>
      <c r="D17" s="35"/>
      <c r="E17" s="35">
        <v>1</v>
      </c>
      <c r="F17" s="35"/>
      <c r="G17" s="35">
        <v>0</v>
      </c>
      <c r="H17" s="35"/>
      <c r="I17" s="35">
        <v>0</v>
      </c>
      <c r="J17" s="35"/>
      <c r="K17" s="35">
        <v>0</v>
      </c>
      <c r="L17" s="35"/>
      <c r="M17" s="35">
        <v>0</v>
      </c>
      <c r="N17" s="35"/>
      <c r="O17" s="35">
        <v>0</v>
      </c>
      <c r="P17" s="35"/>
      <c r="Q17" s="35">
        <v>0</v>
      </c>
      <c r="R17" s="35"/>
      <c r="S17" s="35">
        <v>0</v>
      </c>
      <c r="T17" s="35"/>
      <c r="U17" s="35">
        <v>1</v>
      </c>
      <c r="V17" s="35"/>
      <c r="W17" s="35">
        <v>0</v>
      </c>
      <c r="X17" s="35"/>
      <c r="Y17" s="35">
        <v>0</v>
      </c>
      <c r="Z17" s="35"/>
      <c r="AA17" s="35">
        <v>0</v>
      </c>
      <c r="AB17" s="35"/>
      <c r="AC17" s="35">
        <v>0</v>
      </c>
      <c r="AD17" s="35"/>
      <c r="AE17" s="35">
        <v>0</v>
      </c>
      <c r="AF17" s="35"/>
      <c r="AG17" s="35">
        <v>1</v>
      </c>
      <c r="AH17" s="35"/>
      <c r="AI17" s="35">
        <v>0</v>
      </c>
      <c r="AJ17" s="35"/>
      <c r="AK17" s="35">
        <v>0</v>
      </c>
      <c r="AL17" s="35"/>
      <c r="AM17" s="35">
        <v>0</v>
      </c>
      <c r="AN17" s="35"/>
      <c r="AO17" s="35">
        <v>0</v>
      </c>
      <c r="AP17" s="35"/>
      <c r="AQ17" s="35">
        <v>0</v>
      </c>
      <c r="AR17" s="35"/>
      <c r="AS17" s="35">
        <v>0</v>
      </c>
      <c r="AT17" s="35"/>
      <c r="AU17" s="35">
        <v>0</v>
      </c>
      <c r="AV17" s="35"/>
      <c r="AW17" s="35">
        <v>0</v>
      </c>
      <c r="AX17" s="35"/>
      <c r="AY17" s="35">
        <v>1</v>
      </c>
      <c r="AZ17" s="35"/>
      <c r="BA17" s="35"/>
      <c r="BC17" s="35"/>
      <c r="BE17" s="35"/>
    </row>
    <row r="18" spans="1:99" s="10" customFormat="1" ht="13.5" thickBot="1" x14ac:dyDescent="0.25">
      <c r="A18" s="3" t="s">
        <v>26</v>
      </c>
      <c r="C18" s="17">
        <f>+SUM(C14:C17)</f>
        <v>753</v>
      </c>
      <c r="D18" s="35"/>
      <c r="E18" s="17">
        <f>+SUM(E14:E17)</f>
        <v>439</v>
      </c>
      <c r="F18" s="35"/>
      <c r="G18" s="17">
        <f>+SUM(G14:G17)</f>
        <v>18</v>
      </c>
      <c r="H18" s="35"/>
      <c r="I18" s="17">
        <f>+SUM(I14:I17)</f>
        <v>7</v>
      </c>
      <c r="J18" s="35"/>
      <c r="K18" s="17">
        <f>+SUM(K14:K17)</f>
        <v>5</v>
      </c>
      <c r="L18" s="35"/>
      <c r="M18" s="17">
        <f>+SUM(M14:M17)</f>
        <v>7</v>
      </c>
      <c r="N18" s="35"/>
      <c r="O18" s="17">
        <f>+SUM(O14:O17)</f>
        <v>4</v>
      </c>
      <c r="P18" s="35"/>
      <c r="Q18" s="17">
        <f>+SUM(Q14:Q17)</f>
        <v>1</v>
      </c>
      <c r="R18" s="35"/>
      <c r="S18" s="17">
        <f>+SUM(S14:S17)</f>
        <v>616</v>
      </c>
      <c r="T18" s="35"/>
      <c r="U18" s="17">
        <f>+SUM(U14:U17)</f>
        <v>610</v>
      </c>
      <c r="V18" s="35"/>
      <c r="W18" s="17">
        <f>+SUM(W14:W17)</f>
        <v>5</v>
      </c>
      <c r="X18" s="35"/>
      <c r="Y18" s="17">
        <f>+SUM(Y14:Y17)</f>
        <v>4</v>
      </c>
      <c r="Z18" s="35"/>
      <c r="AA18" s="17">
        <f>+SUM(AA14:AA17)</f>
        <v>4</v>
      </c>
      <c r="AB18" s="35"/>
      <c r="AC18" s="17">
        <f>+SUM(AC14:AC17)</f>
        <v>5</v>
      </c>
      <c r="AD18" s="35"/>
      <c r="AE18" s="17">
        <f>+SUM(AE14:AE17)</f>
        <v>741</v>
      </c>
      <c r="AF18" s="35"/>
      <c r="AG18" s="17">
        <f>+SUM(AG14:AG17)</f>
        <v>475</v>
      </c>
      <c r="AH18" s="35"/>
      <c r="AI18" s="17">
        <f>+SUM(AI14:AI17)</f>
        <v>705</v>
      </c>
      <c r="AJ18" s="35"/>
      <c r="AK18" s="17">
        <f>+SUM(AK14:AK17)</f>
        <v>506</v>
      </c>
      <c r="AL18" s="35"/>
      <c r="AM18" s="17">
        <f>+SUM(AM14:AM17)</f>
        <v>923</v>
      </c>
      <c r="AN18" s="35"/>
      <c r="AO18" s="17">
        <f>+SUM(AO14:AO17)</f>
        <v>0</v>
      </c>
      <c r="AP18" s="35"/>
      <c r="AQ18" s="17">
        <f>+SUM(AQ14:AQ17)</f>
        <v>632</v>
      </c>
      <c r="AR18" s="35"/>
      <c r="AS18" s="17">
        <f>+SUM(AS14:AS17)</f>
        <v>528</v>
      </c>
      <c r="AT18" s="35"/>
      <c r="AU18" s="17">
        <f>+SUM(AU14:AU17)</f>
        <v>40</v>
      </c>
      <c r="AV18" s="35"/>
      <c r="AW18" s="17">
        <f>+SUM(AW14:AW17)</f>
        <v>427</v>
      </c>
      <c r="AX18" s="35"/>
      <c r="AY18" s="17">
        <f>+SUM(AY14:AY17)</f>
        <v>694</v>
      </c>
      <c r="AZ18" s="35"/>
      <c r="BA18" s="20"/>
      <c r="BB18" s="37"/>
      <c r="BC18" s="20"/>
      <c r="BD18" s="37"/>
      <c r="BE18" s="20"/>
      <c r="BF18" s="35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</row>
    <row r="19" spans="1:99" s="10" customFormat="1" x14ac:dyDescent="0.2">
      <c r="A19" s="3"/>
      <c r="C19" s="20"/>
      <c r="D19" s="35"/>
      <c r="E19" s="20"/>
      <c r="F19" s="35"/>
      <c r="G19" s="20"/>
      <c r="H19" s="35"/>
      <c r="I19" s="20"/>
      <c r="J19" s="35"/>
      <c r="K19" s="20"/>
      <c r="L19" s="35"/>
      <c r="M19" s="20"/>
      <c r="N19" s="35"/>
      <c r="O19" s="20"/>
      <c r="P19" s="35"/>
      <c r="Q19" s="20"/>
      <c r="R19" s="35"/>
      <c r="S19" s="20"/>
      <c r="T19" s="35"/>
      <c r="U19" s="20"/>
      <c r="V19" s="35"/>
      <c r="W19" s="20"/>
      <c r="X19" s="35"/>
      <c r="Y19" s="20"/>
      <c r="Z19" s="35"/>
      <c r="AA19" s="20"/>
      <c r="AB19" s="35"/>
      <c r="AC19" s="20"/>
      <c r="AD19" s="35"/>
      <c r="AE19" s="20"/>
      <c r="AF19" s="35"/>
      <c r="AG19" s="20"/>
      <c r="AH19" s="35"/>
      <c r="AI19" s="20"/>
      <c r="AJ19" s="35"/>
      <c r="AK19" s="20"/>
      <c r="AL19" s="35"/>
      <c r="AM19" s="20"/>
      <c r="AN19" s="35"/>
      <c r="AO19" s="20"/>
      <c r="AP19" s="35"/>
      <c r="AQ19" s="20"/>
      <c r="AR19" s="35"/>
      <c r="AS19" s="20"/>
      <c r="AT19" s="35"/>
      <c r="AU19" s="20"/>
      <c r="AV19" s="35"/>
      <c r="AW19" s="20"/>
      <c r="AX19" s="35"/>
      <c r="AY19" s="20"/>
      <c r="AZ19" s="35"/>
      <c r="BA19" s="20"/>
      <c r="BB19" s="110"/>
      <c r="BC19" s="20"/>
      <c r="BD19" s="110"/>
      <c r="BE19" s="20"/>
      <c r="BF19" s="35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</row>
    <row r="20" spans="1:99" x14ac:dyDescent="0.2"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</row>
    <row r="21" spans="1:99" x14ac:dyDescent="0.2"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</row>
    <row r="22" spans="1:99" x14ac:dyDescent="0.2"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F22" s="20"/>
    </row>
    <row r="23" spans="1:99" x14ac:dyDescent="0.2"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</row>
    <row r="24" spans="1:99" x14ac:dyDescent="0.2"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</row>
    <row r="25" spans="1:99" x14ac:dyDescent="0.2"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X25" s="35"/>
      <c r="AY25" s="35"/>
      <c r="AZ25" s="35"/>
      <c r="BA25" s="35"/>
    </row>
    <row r="26" spans="1:99" x14ac:dyDescent="0.2"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X26" s="35"/>
      <c r="AY26" s="35"/>
      <c r="AZ26" s="35"/>
      <c r="BA26" s="35"/>
    </row>
    <row r="27" spans="1:99" x14ac:dyDescent="0.2"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X27" s="35"/>
      <c r="AY27" s="35"/>
      <c r="AZ27" s="35"/>
      <c r="BA27" s="35"/>
    </row>
    <row r="28" spans="1:99" x14ac:dyDescent="0.2"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X28" s="20"/>
      <c r="AY28" s="20"/>
      <c r="AZ28" s="20"/>
      <c r="BA28" s="20"/>
    </row>
    <row r="29" spans="1:99" x14ac:dyDescent="0.2"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237"/>
      <c r="AX29" s="35"/>
      <c r="AY29" s="35"/>
      <c r="AZ29" s="35"/>
      <c r="BA29" s="35"/>
    </row>
    <row r="30" spans="1:99" x14ac:dyDescent="0.2"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X30" s="35"/>
      <c r="AY30" s="35"/>
      <c r="AZ30" s="35"/>
      <c r="BA30" s="35"/>
    </row>
    <row r="31" spans="1:99" x14ac:dyDescent="0.2"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238"/>
      <c r="AX31" s="35"/>
      <c r="AY31" s="35"/>
      <c r="AZ31" s="35"/>
      <c r="BA31" s="35"/>
    </row>
    <row r="32" spans="1:99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AA39" sqref="AA39"/>
      <colBreaks count="2" manualBreakCount="2">
        <brk id="25" max="14" man="1"/>
        <brk id="51" max="14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&amp;C&amp;"Arial,Bold"&amp;11Township of Weymouth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printArea="1" view="pageBreakPreview">
      <pane xSplit="1" ySplit="5" topLeftCell="M6" activePane="bottomRight" state="frozen"/>
      <selection pane="bottomRight" activeCell="AI12" sqref="AI12"/>
      <colBreaks count="2" manualBreakCount="2">
        <brk id="25" max="14" man="1"/>
        <brk id="51" max="14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&amp;C&amp;"Arial,Bold"&amp;11Township of Weymouth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printArea="1" view="pageBreakPreview">
      <pane xSplit="1" ySplit="5" topLeftCell="M6" activePane="bottomRight" state="frozen"/>
      <selection pane="bottomRight" activeCell="AI12" sqref="AI12"/>
      <colBreaks count="2" manualBreakCount="2">
        <brk id="25" max="14" man="1"/>
        <brk id="51" max="14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&amp;C&amp;"Arial,Bold"&amp;11Township of Weymouth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printArea="1" view="pageBreakPreview">
      <pane xSplit="1" ySplit="5" topLeftCell="M6" activePane="bottomRight" state="frozen"/>
      <selection pane="bottomRight" activeCell="AI12" sqref="AI12"/>
      <colBreaks count="2" manualBreakCount="2">
        <brk id="25" max="14" man="1"/>
        <brk id="51" max="14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&amp;C&amp;"Arial,Bold"&amp;11Township of Weymouth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printArea="1" view="pageBreakPreview">
      <pane xSplit="1" ySplit="5" topLeftCell="M6" activePane="bottomRight" state="frozen"/>
      <selection pane="bottomRight" activeCell="AI12" sqref="AI12"/>
      <colBreaks count="2" manualBreakCount="2">
        <brk id="25" max="14" man="1"/>
        <brk id="51" max="14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&amp;C&amp;"Arial,Bold"&amp;11Township of Weymouth
General Election - November 3, 2015
Prepared by the Office of Edward P. McGettigan, Atlantic County Clerk</oddHeader>
        <oddFooter>&amp;R&amp;11Page &amp;P</oddFooter>
      </headerFooter>
    </customSheetView>
  </customSheetViews>
  <mergeCells count="7">
    <mergeCell ref="AQ5:AU5"/>
    <mergeCell ref="AW5:AY5"/>
    <mergeCell ref="AE5:AG5"/>
    <mergeCell ref="C5:Q5"/>
    <mergeCell ref="S5:AC5"/>
    <mergeCell ref="AI5:AK5"/>
    <mergeCell ref="AM5:AO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&amp;C&amp;"Arial,Bold"&amp;11Township of Weymouth
General Election - November 6, 2018
Prepared by the Office of Edward P. McGettigan, Atlantic County Clerk</oddHeader>
    <oddFooter>&amp;R&amp;11Page &amp;P</oddFooter>
  </headerFooter>
  <colBreaks count="2" manualBreakCount="2">
    <brk id="29" max="16" man="1"/>
    <brk id="51" max="18" man="1"/>
  </colBreaks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BM43"/>
  <sheetViews>
    <sheetView zoomScale="75" zoomScaleNormal="75" zoomScaleSheetLayoutView="75" workbookViewId="0">
      <pane xSplit="1" ySplit="10" topLeftCell="B32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61" customWidth="1"/>
    <col min="2" max="2" width="1.7109375" style="110" customWidth="1"/>
    <col min="3" max="3" width="12.140625" style="63" customWidth="1"/>
    <col min="4" max="4" width="1.7109375" style="63" customWidth="1"/>
    <col min="5" max="5" width="11.140625" style="63" customWidth="1"/>
    <col min="6" max="6" width="1.7109375" style="63" customWidth="1"/>
    <col min="7" max="7" width="15.85546875" style="63" customWidth="1"/>
    <col min="8" max="8" width="1.7109375" style="63" customWidth="1"/>
    <col min="9" max="9" width="12.140625" style="63" customWidth="1"/>
    <col min="10" max="10" width="1.7109375" style="63" customWidth="1"/>
    <col min="11" max="11" width="15.85546875" style="63" customWidth="1"/>
    <col min="12" max="12" width="1.7109375" style="63" customWidth="1"/>
    <col min="13" max="13" width="12.140625" style="63" customWidth="1"/>
    <col min="14" max="14" width="1.7109375" style="63" customWidth="1"/>
    <col min="15" max="15" width="12.140625" style="63" customWidth="1"/>
    <col min="16" max="16" width="1.7109375" style="63" customWidth="1"/>
    <col min="17" max="17" width="14.140625" style="63" customWidth="1"/>
    <col min="18" max="18" width="1.85546875" style="63" customWidth="1"/>
    <col min="19" max="19" width="13" style="63" customWidth="1"/>
    <col min="20" max="20" width="1.7109375" style="63" customWidth="1"/>
    <col min="21" max="21" width="11" style="63" customWidth="1"/>
    <col min="22" max="22" width="2.42578125" style="63" customWidth="1"/>
    <col min="23" max="23" width="12.140625" style="63" customWidth="1"/>
    <col min="24" max="24" width="1.7109375" style="63" customWidth="1"/>
    <col min="25" max="25" width="12.140625" style="63" customWidth="1"/>
    <col min="26" max="26" width="1.5703125" style="63" customWidth="1"/>
    <col min="27" max="27" width="11.7109375" style="63" customWidth="1"/>
    <col min="28" max="28" width="1.7109375" style="63" customWidth="1"/>
    <col min="29" max="29" width="11.85546875" style="63" customWidth="1"/>
    <col min="30" max="30" width="1.7109375" style="63" customWidth="1"/>
    <col min="31" max="31" width="12.140625" style="63" customWidth="1"/>
    <col min="32" max="32" width="1.7109375" style="63" customWidth="1"/>
    <col min="33" max="33" width="14" style="63" customWidth="1"/>
    <col min="34" max="34" width="1.7109375" style="63" customWidth="1"/>
    <col min="35" max="35" width="14.7109375" style="63" customWidth="1"/>
    <col min="36" max="36" width="1.7109375" style="63" customWidth="1"/>
    <col min="37" max="37" width="14.7109375" style="63" customWidth="1"/>
    <col min="38" max="38" width="1.7109375" style="63" customWidth="1"/>
    <col min="39" max="39" width="14.7109375" style="63" customWidth="1"/>
    <col min="40" max="40" width="1.7109375" style="63" customWidth="1"/>
    <col min="41" max="41" width="14.7109375" style="63" customWidth="1"/>
    <col min="42" max="42" width="1.7109375" style="63" customWidth="1"/>
    <col min="43" max="43" width="14.7109375" style="63" customWidth="1"/>
    <col min="44" max="44" width="1.7109375" style="63" customWidth="1"/>
    <col min="45" max="45" width="14.7109375" style="63" customWidth="1"/>
    <col min="46" max="46" width="1.7109375" style="63" customWidth="1"/>
    <col min="47" max="47" width="12.140625" style="63" customWidth="1"/>
    <col min="48" max="48" width="1.7109375" style="63" customWidth="1"/>
    <col min="49" max="49" width="12.140625" style="63" customWidth="1"/>
    <col min="50" max="50" width="1.7109375" style="63" customWidth="1"/>
    <col min="51" max="51" width="9.28515625" style="63" customWidth="1"/>
    <col min="52" max="52" width="1.7109375" style="63" customWidth="1"/>
    <col min="53" max="53" width="9.28515625" style="63" customWidth="1"/>
    <col min="54" max="54" width="1.7109375" style="63" customWidth="1"/>
    <col min="55" max="55" width="10.7109375" style="110" customWidth="1"/>
    <col min="56" max="56" width="1.7109375" style="110" customWidth="1"/>
    <col min="57" max="57" width="10.7109375" style="110" customWidth="1"/>
    <col min="58" max="58" width="1.7109375" style="110" customWidth="1"/>
    <col min="59" max="59" width="10.7109375" style="110" customWidth="1"/>
    <col min="60" max="60" width="1.7109375" style="110" customWidth="1"/>
    <col min="61" max="61" width="11.140625" style="110" bestFit="1" customWidth="1"/>
    <col min="62" max="62" width="1.7109375" style="110" customWidth="1"/>
    <col min="63" max="63" width="10.7109375" style="110" customWidth="1"/>
    <col min="64" max="64" width="1.7109375" style="110" customWidth="1"/>
    <col min="65" max="65" width="11.85546875" style="110" customWidth="1"/>
    <col min="66" max="16384" width="9.140625" style="110"/>
  </cols>
  <sheetData>
    <row r="2" spans="1:63" s="6" customFormat="1" x14ac:dyDescent="0.2">
      <c r="A2" s="246"/>
      <c r="C2" s="278"/>
      <c r="D2" s="278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50"/>
      <c r="R2" s="50"/>
      <c r="S2" s="50"/>
      <c r="T2" s="282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282"/>
      <c r="AG2" s="282"/>
      <c r="AH2" s="282"/>
      <c r="AI2" s="282"/>
      <c r="AJ2" s="282"/>
      <c r="AK2" s="282"/>
      <c r="AL2" s="282"/>
      <c r="AM2" s="282"/>
      <c r="AN2" s="282"/>
      <c r="AO2" s="282"/>
      <c r="AP2" s="282"/>
      <c r="AQ2" s="282"/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</row>
    <row r="3" spans="1:63" s="6" customFormat="1" x14ac:dyDescent="0.2">
      <c r="A3" s="246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282"/>
      <c r="Q3" s="153"/>
      <c r="R3" s="153"/>
      <c r="S3" s="153"/>
      <c r="T3" s="282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282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282"/>
      <c r="AU3" s="307"/>
      <c r="AV3" s="307"/>
      <c r="AW3" s="307"/>
      <c r="AX3" s="307"/>
      <c r="AY3" s="307"/>
      <c r="AZ3" s="307"/>
      <c r="BA3" s="307"/>
      <c r="BB3" s="282"/>
    </row>
    <row r="4" spans="1:63" s="6" customFormat="1" x14ac:dyDescent="0.2">
      <c r="A4" s="283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95"/>
      <c r="S4" s="95"/>
      <c r="T4" s="95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282"/>
      <c r="AU4" s="307"/>
      <c r="AV4" s="307"/>
      <c r="AW4" s="307"/>
      <c r="AX4" s="307"/>
      <c r="AY4" s="307"/>
      <c r="AZ4" s="307"/>
      <c r="BA4" s="307"/>
      <c r="BB4" s="282"/>
    </row>
    <row r="5" spans="1:63" s="363" customFormat="1" ht="15.75" thickBot="1" x14ac:dyDescent="0.3">
      <c r="A5" s="362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181</v>
      </c>
      <c r="AJ5" s="464"/>
      <c r="AK5" s="464"/>
      <c r="AL5" s="323"/>
      <c r="AM5" s="464" t="s">
        <v>114</v>
      </c>
      <c r="AN5" s="464"/>
      <c r="AO5" s="464"/>
      <c r="AP5" s="464"/>
      <c r="AQ5" s="464"/>
      <c r="AR5" s="464"/>
      <c r="AS5" s="464"/>
      <c r="AT5" s="464"/>
      <c r="AU5" s="464"/>
      <c r="AV5" s="464"/>
      <c r="AW5" s="464"/>
      <c r="AX5" s="135"/>
      <c r="AY5" s="457" t="s">
        <v>196</v>
      </c>
      <c r="AZ5" s="457"/>
      <c r="BA5" s="457"/>
      <c r="BB5" s="310"/>
    </row>
    <row r="6" spans="1:63" s="6" customFormat="1" ht="15" x14ac:dyDescent="0.25">
      <c r="A6" s="246"/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82"/>
      <c r="AI6" s="103"/>
      <c r="AJ6" s="104"/>
      <c r="AK6" s="105"/>
      <c r="AL6" s="282"/>
      <c r="AM6" s="103"/>
      <c r="AN6" s="104"/>
      <c r="AO6" s="104"/>
      <c r="AP6" s="104"/>
      <c r="AQ6" s="104"/>
      <c r="AR6" s="104"/>
      <c r="AS6" s="104"/>
      <c r="AT6" s="104"/>
      <c r="AU6" s="93"/>
      <c r="AV6" s="92"/>
      <c r="AW6" s="102"/>
      <c r="AX6" s="95"/>
      <c r="AY6" s="129"/>
      <c r="AZ6" s="128"/>
      <c r="BA6" s="130"/>
      <c r="BB6" s="282"/>
      <c r="BC6" s="79"/>
      <c r="BD6" s="77"/>
      <c r="BE6" s="81"/>
      <c r="BF6" s="77"/>
      <c r="BG6" s="81"/>
      <c r="BH6" s="77"/>
      <c r="BI6" s="81"/>
      <c r="BJ6" s="77"/>
      <c r="BK6" s="82"/>
    </row>
    <row r="7" spans="1:63" s="6" customFormat="1" ht="15" x14ac:dyDescent="0.25">
      <c r="A7" s="246"/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106" t="str">
        <f>+'Lead Sheet '!AI5</f>
        <v>Maureen</v>
      </c>
      <c r="AJ7" s="282"/>
      <c r="AK7" s="107" t="str">
        <f>+'Lead Sheet '!AK5</f>
        <v>Maureen</v>
      </c>
      <c r="AL7" s="282"/>
      <c r="AM7" s="106" t="s">
        <v>197</v>
      </c>
      <c r="AN7" s="282"/>
      <c r="AO7" s="95" t="s">
        <v>199</v>
      </c>
      <c r="AP7" s="282"/>
      <c r="AQ7" s="95" t="s">
        <v>105</v>
      </c>
      <c r="AR7" s="282"/>
      <c r="AS7" s="95" t="s">
        <v>204</v>
      </c>
      <c r="AT7" s="282"/>
      <c r="AU7" s="161" t="s">
        <v>206</v>
      </c>
      <c r="AV7" s="95"/>
      <c r="AW7" s="160" t="s">
        <v>208</v>
      </c>
      <c r="AX7" s="95"/>
      <c r="AY7" s="155"/>
      <c r="AZ7" s="137"/>
      <c r="BA7" s="156"/>
      <c r="BB7" s="282"/>
      <c r="BC7" s="78" t="s">
        <v>24</v>
      </c>
      <c r="BD7" s="76"/>
      <c r="BE7" s="83" t="s">
        <v>24</v>
      </c>
      <c r="BF7" s="76"/>
      <c r="BG7" s="83" t="s">
        <v>24</v>
      </c>
      <c r="BH7" s="76"/>
      <c r="BI7" s="83" t="s">
        <v>24</v>
      </c>
      <c r="BJ7" s="76"/>
      <c r="BK7" s="84" t="s">
        <v>24</v>
      </c>
    </row>
    <row r="8" spans="1:63" s="6" customFormat="1" ht="14.25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106" t="str">
        <f>+'Lead Sheet '!AI6</f>
        <v>KERN</v>
      </c>
      <c r="AJ8" s="282"/>
      <c r="AK8" s="107" t="str">
        <f>+'Lead Sheet '!AK6</f>
        <v>LEIDY</v>
      </c>
      <c r="AL8" s="282"/>
      <c r="AM8" s="106" t="s">
        <v>198</v>
      </c>
      <c r="AN8" s="282"/>
      <c r="AO8" s="95" t="s">
        <v>200</v>
      </c>
      <c r="AP8" s="282"/>
      <c r="AQ8" s="95" t="s">
        <v>203</v>
      </c>
      <c r="AR8" s="282"/>
      <c r="AS8" s="95" t="s">
        <v>205</v>
      </c>
      <c r="AT8" s="282"/>
      <c r="AU8" s="159" t="s">
        <v>207</v>
      </c>
      <c r="AV8" s="95"/>
      <c r="AW8" s="107" t="s">
        <v>209</v>
      </c>
      <c r="AX8" s="95"/>
      <c r="AY8" s="315" t="s">
        <v>106</v>
      </c>
      <c r="AZ8" s="143"/>
      <c r="BA8" s="316" t="s">
        <v>107</v>
      </c>
      <c r="BB8" s="282"/>
      <c r="BC8" s="78" t="s">
        <v>83</v>
      </c>
      <c r="BD8" s="76"/>
      <c r="BE8" s="83" t="s">
        <v>84</v>
      </c>
      <c r="BF8" s="76"/>
      <c r="BG8" s="83" t="s">
        <v>85</v>
      </c>
      <c r="BH8" s="76"/>
      <c r="BI8" s="83" t="s">
        <v>86</v>
      </c>
      <c r="BJ8" s="76"/>
      <c r="BK8" s="84" t="s">
        <v>87</v>
      </c>
    </row>
    <row r="9" spans="1:63" s="6" customFormat="1" ht="14.25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106" t="str">
        <f>+'Lead Sheet '!AI7</f>
        <v>Republican</v>
      </c>
      <c r="AJ9" s="282"/>
      <c r="AK9" s="107" t="str">
        <f>+'Lead Sheet '!AK7</f>
        <v>Democratic</v>
      </c>
      <c r="AL9" s="282"/>
      <c r="AM9" s="106"/>
      <c r="AN9" s="282"/>
      <c r="AO9" s="95" t="s">
        <v>201</v>
      </c>
      <c r="AP9" s="282"/>
      <c r="AQ9" s="95"/>
      <c r="AR9" s="282"/>
      <c r="AS9" s="95"/>
      <c r="AT9" s="282"/>
      <c r="AU9" s="95"/>
      <c r="AV9" s="95"/>
      <c r="AW9" s="107"/>
      <c r="AX9" s="96"/>
      <c r="AY9" s="296"/>
      <c r="AZ9" s="295"/>
      <c r="BA9" s="297"/>
      <c r="BB9" s="282"/>
      <c r="BC9" s="78" t="s">
        <v>89</v>
      </c>
      <c r="BD9" s="76"/>
      <c r="BE9" s="83" t="s">
        <v>90</v>
      </c>
      <c r="BF9" s="76"/>
      <c r="BG9" s="83" t="s">
        <v>89</v>
      </c>
      <c r="BH9" s="76"/>
      <c r="BI9" s="83" t="s">
        <v>89</v>
      </c>
      <c r="BJ9" s="76"/>
      <c r="BK9" s="84" t="s">
        <v>89</v>
      </c>
    </row>
    <row r="10" spans="1:63" s="6" customFormat="1" ht="15" thickBot="1" x14ac:dyDescent="0.25">
      <c r="A10" s="246"/>
      <c r="C10" s="98"/>
      <c r="D10" s="99"/>
      <c r="E10" s="99"/>
      <c r="F10" s="100"/>
      <c r="G10" s="99"/>
      <c r="H10" s="100"/>
      <c r="I10" s="99"/>
      <c r="J10" s="100"/>
      <c r="K10" s="99"/>
      <c r="L10" s="100"/>
      <c r="M10" s="99"/>
      <c r="N10" s="100"/>
      <c r="O10" s="99"/>
      <c r="P10" s="281"/>
      <c r="Q10" s="101"/>
      <c r="R10" s="95"/>
      <c r="S10" s="98"/>
      <c r="T10" s="100"/>
      <c r="U10" s="99"/>
      <c r="V10" s="100"/>
      <c r="W10" s="99"/>
      <c r="X10" s="100"/>
      <c r="Y10" s="99"/>
      <c r="Z10" s="100"/>
      <c r="AA10" s="99"/>
      <c r="AB10" s="100"/>
      <c r="AC10" s="101" t="str">
        <f>+'Lead Sheet '!AC8</f>
        <v>Bought</v>
      </c>
      <c r="AD10" s="95"/>
      <c r="AE10" s="98"/>
      <c r="AF10" s="281"/>
      <c r="AG10" s="101"/>
      <c r="AH10" s="282"/>
      <c r="AI10" s="120"/>
      <c r="AJ10" s="281"/>
      <c r="AK10" s="121"/>
      <c r="AL10" s="282"/>
      <c r="AM10" s="120"/>
      <c r="AN10" s="281"/>
      <c r="AO10" s="100" t="s">
        <v>202</v>
      </c>
      <c r="AP10" s="281"/>
      <c r="AQ10" s="281"/>
      <c r="AR10" s="281"/>
      <c r="AS10" s="281"/>
      <c r="AT10" s="281"/>
      <c r="AU10" s="100"/>
      <c r="AV10" s="100"/>
      <c r="AW10" s="109"/>
      <c r="AX10" s="95"/>
      <c r="AY10" s="337"/>
      <c r="AZ10" s="330"/>
      <c r="BA10" s="346"/>
      <c r="BB10" s="282"/>
      <c r="BC10" s="80"/>
      <c r="BD10" s="85"/>
      <c r="BE10" s="85"/>
      <c r="BF10" s="85"/>
      <c r="BG10" s="85"/>
      <c r="BH10" s="85"/>
      <c r="BI10" s="85"/>
      <c r="BJ10" s="85"/>
      <c r="BK10" s="86"/>
    </row>
    <row r="11" spans="1:63" x14ac:dyDescent="0.2">
      <c r="A11" s="61" t="s">
        <v>27</v>
      </c>
      <c r="C11" s="62">
        <f>56+45</f>
        <v>101</v>
      </c>
      <c r="E11" s="62">
        <f>170+188</f>
        <v>358</v>
      </c>
      <c r="G11" s="62">
        <f>1+8</f>
        <v>9</v>
      </c>
      <c r="I11" s="62">
        <v>1</v>
      </c>
      <c r="K11" s="62">
        <v>1</v>
      </c>
      <c r="M11" s="62">
        <f>3+2</f>
        <v>5</v>
      </c>
      <c r="O11" s="62">
        <v>2</v>
      </c>
      <c r="Q11" s="62">
        <v>0</v>
      </c>
      <c r="S11" s="62">
        <f>41+35</f>
        <v>76</v>
      </c>
      <c r="U11" s="62">
        <f>181+205</f>
        <v>386</v>
      </c>
      <c r="W11" s="62">
        <f>5+2</f>
        <v>7</v>
      </c>
      <c r="Y11" s="62">
        <f>1+2</f>
        <v>3</v>
      </c>
      <c r="Z11" s="116"/>
      <c r="AA11" s="62">
        <v>1</v>
      </c>
      <c r="AB11" s="35"/>
      <c r="AC11" s="62">
        <v>2</v>
      </c>
      <c r="AD11" s="35"/>
      <c r="AE11" s="62">
        <f>62+56</f>
        <v>118</v>
      </c>
      <c r="AF11" s="35"/>
      <c r="AG11" s="62">
        <f>162+176</f>
        <v>338</v>
      </c>
      <c r="AH11" s="35"/>
      <c r="AI11" s="62" t="s">
        <v>108</v>
      </c>
      <c r="AJ11" s="35"/>
      <c r="AK11" s="62"/>
      <c r="AL11" s="35"/>
      <c r="AM11" s="62">
        <f>118+146</f>
        <v>264</v>
      </c>
      <c r="AN11" s="35"/>
      <c r="AO11" s="62">
        <f>34+48</f>
        <v>82</v>
      </c>
      <c r="AP11" s="35"/>
      <c r="AQ11" s="62">
        <f>80+85</f>
        <v>165</v>
      </c>
      <c r="AR11" s="35"/>
      <c r="AS11" s="62">
        <f>32+29</f>
        <v>61</v>
      </c>
      <c r="AT11" s="35"/>
      <c r="AU11" s="62">
        <f>73+82</f>
        <v>155</v>
      </c>
      <c r="AV11" s="35"/>
      <c r="AW11" s="62">
        <f>107+108</f>
        <v>215</v>
      </c>
      <c r="AX11" s="35"/>
      <c r="AY11" s="62">
        <f>87+87</f>
        <v>174</v>
      </c>
      <c r="AZ11" s="35"/>
      <c r="BA11" s="62">
        <f>50+47</f>
        <v>97</v>
      </c>
      <c r="BB11" s="35"/>
      <c r="BC11" s="115">
        <f>238+265</f>
        <v>503</v>
      </c>
      <c r="BD11" s="114"/>
      <c r="BE11" s="115">
        <f>388</f>
        <v>388</v>
      </c>
      <c r="BF11" s="114"/>
      <c r="BG11" s="115">
        <f>255</f>
        <v>255</v>
      </c>
      <c r="BH11" s="114"/>
      <c r="BI11" s="115"/>
      <c r="BJ11" s="114"/>
      <c r="BK11" s="115">
        <f>+SUM(BC11:BI11)</f>
        <v>1146</v>
      </c>
    </row>
    <row r="12" spans="1:63" x14ac:dyDescent="0.2">
      <c r="A12" s="61" t="s">
        <v>28</v>
      </c>
      <c r="C12" s="60">
        <f>16+21</f>
        <v>37</v>
      </c>
      <c r="E12" s="60">
        <f>94+129</f>
        <v>223</v>
      </c>
      <c r="G12" s="60">
        <f>3+6</f>
        <v>9</v>
      </c>
      <c r="I12" s="60">
        <f>1+1</f>
        <v>2</v>
      </c>
      <c r="K12" s="60">
        <v>1</v>
      </c>
      <c r="M12" s="60">
        <v>0</v>
      </c>
      <c r="O12" s="60">
        <v>0</v>
      </c>
      <c r="Q12" s="60">
        <v>0</v>
      </c>
      <c r="S12" s="60">
        <f>17+17</f>
        <v>34</v>
      </c>
      <c r="U12" s="60">
        <f>93+136</f>
        <v>229</v>
      </c>
      <c r="W12" s="60">
        <f>1+2</f>
        <v>3</v>
      </c>
      <c r="Y12" s="60">
        <v>0</v>
      </c>
      <c r="Z12" s="116"/>
      <c r="AA12" s="60">
        <f>1+1</f>
        <v>2</v>
      </c>
      <c r="AB12" s="35"/>
      <c r="AC12" s="60">
        <v>1</v>
      </c>
      <c r="AD12" s="35"/>
      <c r="AE12" s="60">
        <f>16+26</f>
        <v>42</v>
      </c>
      <c r="AF12" s="35"/>
      <c r="AG12" s="60">
        <f>94+124</f>
        <v>218</v>
      </c>
      <c r="AH12" s="35"/>
      <c r="AI12" s="60"/>
      <c r="AJ12" s="35"/>
      <c r="AK12" s="60"/>
      <c r="AL12" s="35"/>
      <c r="AM12" s="60">
        <f>64+66</f>
        <v>130</v>
      </c>
      <c r="AN12" s="35"/>
      <c r="AO12" s="60">
        <f>37+36</f>
        <v>73</v>
      </c>
      <c r="AP12" s="35"/>
      <c r="AQ12" s="60">
        <f>33+52</f>
        <v>85</v>
      </c>
      <c r="AR12" s="35"/>
      <c r="AS12" s="60">
        <f>19+24</f>
        <v>43</v>
      </c>
      <c r="AT12" s="35"/>
      <c r="AU12" s="60">
        <f>38+39</f>
        <v>77</v>
      </c>
      <c r="AV12" s="35"/>
      <c r="AW12" s="60">
        <f>42+61</f>
        <v>103</v>
      </c>
      <c r="AX12" s="35"/>
      <c r="AY12" s="60">
        <f>44+66</f>
        <v>110</v>
      </c>
      <c r="AZ12" s="35"/>
      <c r="BA12" s="60">
        <f>16+23</f>
        <v>39</v>
      </c>
      <c r="BB12" s="35"/>
      <c r="BC12" s="32">
        <f>122+164</f>
        <v>286</v>
      </c>
      <c r="BD12" s="114"/>
      <c r="BE12" s="32"/>
      <c r="BF12" s="114"/>
      <c r="BG12" s="32"/>
      <c r="BH12" s="114"/>
      <c r="BI12" s="32"/>
      <c r="BJ12" s="114"/>
      <c r="BK12" s="115">
        <f t="shared" ref="BK12:BK31" si="0">+SUM(BC12:BI12)</f>
        <v>286</v>
      </c>
    </row>
    <row r="13" spans="1:63" x14ac:dyDescent="0.2">
      <c r="A13" s="61" t="s">
        <v>29</v>
      </c>
      <c r="C13" s="60">
        <f>17+15</f>
        <v>32</v>
      </c>
      <c r="E13" s="60">
        <f>108+97</f>
        <v>205</v>
      </c>
      <c r="G13" s="60">
        <f>1+2</f>
        <v>3</v>
      </c>
      <c r="I13" s="60">
        <f>1+1</f>
        <v>2</v>
      </c>
      <c r="K13" s="60">
        <v>3</v>
      </c>
      <c r="M13" s="60">
        <v>0</v>
      </c>
      <c r="O13" s="60">
        <v>0</v>
      </c>
      <c r="Q13" s="60">
        <v>0</v>
      </c>
      <c r="S13" s="60">
        <f>16+13</f>
        <v>29</v>
      </c>
      <c r="U13" s="60">
        <f>114+102</f>
        <v>216</v>
      </c>
      <c r="W13" s="60">
        <v>0</v>
      </c>
      <c r="Y13" s="60">
        <f>2+1</f>
        <v>3</v>
      </c>
      <c r="Z13" s="116"/>
      <c r="AA13" s="60">
        <v>1</v>
      </c>
      <c r="AB13" s="35"/>
      <c r="AC13" s="60">
        <v>1</v>
      </c>
      <c r="AD13" s="35"/>
      <c r="AE13" s="60">
        <f>23+14</f>
        <v>37</v>
      </c>
      <c r="AF13" s="35"/>
      <c r="AG13" s="60">
        <f>107+97</f>
        <v>204</v>
      </c>
      <c r="AH13" s="35"/>
      <c r="AI13" s="60"/>
      <c r="AJ13" s="35"/>
      <c r="AK13" s="60"/>
      <c r="AL13" s="35"/>
      <c r="AM13" s="60">
        <f>57+47</f>
        <v>104</v>
      </c>
      <c r="AN13" s="35"/>
      <c r="AO13" s="60">
        <f>20+21</f>
        <v>41</v>
      </c>
      <c r="AP13" s="35"/>
      <c r="AQ13" s="60">
        <f>25+21</f>
        <v>46</v>
      </c>
      <c r="AR13" s="35"/>
      <c r="AS13" s="60">
        <f>22+18</f>
        <v>40</v>
      </c>
      <c r="AT13" s="35"/>
      <c r="AU13" s="60">
        <f>33+34</f>
        <v>67</v>
      </c>
      <c r="AV13" s="35"/>
      <c r="AW13" s="60">
        <f>54+45</f>
        <v>99</v>
      </c>
      <c r="AX13" s="35"/>
      <c r="AY13" s="60">
        <f>51+52</f>
        <v>103</v>
      </c>
      <c r="AZ13" s="35"/>
      <c r="BA13" s="60">
        <f>18+19</f>
        <v>37</v>
      </c>
      <c r="BB13" s="35"/>
      <c r="BC13" s="32">
        <f>135+123</f>
        <v>258</v>
      </c>
      <c r="BD13" s="114"/>
      <c r="BE13" s="32"/>
      <c r="BF13" s="114"/>
      <c r="BG13" s="32"/>
      <c r="BH13" s="114"/>
      <c r="BI13" s="32"/>
      <c r="BJ13" s="114"/>
      <c r="BK13" s="115">
        <f t="shared" si="0"/>
        <v>258</v>
      </c>
    </row>
    <row r="14" spans="1:63" x14ac:dyDescent="0.2">
      <c r="A14" s="61" t="s">
        <v>33</v>
      </c>
      <c r="C14" s="60">
        <f>24+11</f>
        <v>35</v>
      </c>
      <c r="E14" s="60">
        <f>105+95</f>
        <v>200</v>
      </c>
      <c r="G14" s="60">
        <f>3+5</f>
        <v>8</v>
      </c>
      <c r="I14" s="60">
        <v>2</v>
      </c>
      <c r="K14" s="60">
        <v>1</v>
      </c>
      <c r="M14" s="60">
        <v>1</v>
      </c>
      <c r="O14" s="60">
        <v>0</v>
      </c>
      <c r="Q14" s="60">
        <v>0</v>
      </c>
      <c r="S14" s="60">
        <f>18+12</f>
        <v>30</v>
      </c>
      <c r="U14" s="60">
        <f>119+100</f>
        <v>219</v>
      </c>
      <c r="W14" s="60">
        <v>0</v>
      </c>
      <c r="Y14" s="60">
        <v>1</v>
      </c>
      <c r="Z14" s="116"/>
      <c r="AA14" s="60">
        <v>0</v>
      </c>
      <c r="AB14" s="35"/>
      <c r="AC14" s="60">
        <v>2</v>
      </c>
      <c r="AD14" s="35"/>
      <c r="AE14" s="60">
        <f>30+18</f>
        <v>48</v>
      </c>
      <c r="AF14" s="35"/>
      <c r="AG14" s="60">
        <f>101+88</f>
        <v>189</v>
      </c>
      <c r="AH14" s="35"/>
      <c r="AI14" s="60"/>
      <c r="AJ14" s="35"/>
      <c r="AK14" s="60"/>
      <c r="AL14" s="35"/>
      <c r="AM14" s="60">
        <f>67+72</f>
        <v>139</v>
      </c>
      <c r="AN14" s="35"/>
      <c r="AO14" s="60">
        <f>24+16</f>
        <v>40</v>
      </c>
      <c r="AP14" s="35"/>
      <c r="AQ14" s="60">
        <f>43+30</f>
        <v>73</v>
      </c>
      <c r="AR14" s="35"/>
      <c r="AS14" s="60">
        <f>27+15</f>
        <v>42</v>
      </c>
      <c r="AT14" s="35"/>
      <c r="AU14" s="60">
        <f>54+55</f>
        <v>109</v>
      </c>
      <c r="AV14" s="35"/>
      <c r="AW14" s="60">
        <f>73+73</f>
        <v>146</v>
      </c>
      <c r="AX14" s="35"/>
      <c r="AY14" s="60">
        <f>49+58</f>
        <v>107</v>
      </c>
      <c r="AZ14" s="35"/>
      <c r="BA14" s="60">
        <f>29+17</f>
        <v>46</v>
      </c>
      <c r="BB14" s="35"/>
      <c r="BC14" s="32">
        <f>141+125</f>
        <v>266</v>
      </c>
      <c r="BD14" s="114"/>
      <c r="BE14" s="32"/>
      <c r="BF14" s="114"/>
      <c r="BG14" s="32"/>
      <c r="BH14" s="114"/>
      <c r="BI14" s="32"/>
      <c r="BJ14" s="114"/>
      <c r="BK14" s="115">
        <f t="shared" si="0"/>
        <v>266</v>
      </c>
    </row>
    <row r="15" spans="1:63" x14ac:dyDescent="0.2">
      <c r="A15" s="61" t="s">
        <v>30</v>
      </c>
      <c r="C15" s="60">
        <f>60+38</f>
        <v>98</v>
      </c>
      <c r="E15" s="60">
        <f>124+98</f>
        <v>222</v>
      </c>
      <c r="G15" s="60">
        <f>7+6</f>
        <v>13</v>
      </c>
      <c r="I15" s="60">
        <f>1+1</f>
        <v>2</v>
      </c>
      <c r="K15" s="60">
        <v>0</v>
      </c>
      <c r="M15" s="60">
        <v>4</v>
      </c>
      <c r="O15" s="60">
        <v>2</v>
      </c>
      <c r="Q15" s="60">
        <v>0</v>
      </c>
      <c r="S15" s="60">
        <f>53+33</f>
        <v>86</v>
      </c>
      <c r="U15" s="60">
        <f>128+99</f>
        <v>227</v>
      </c>
      <c r="W15" s="60">
        <v>2</v>
      </c>
      <c r="Y15" s="60">
        <f>3+2</f>
        <v>5</v>
      </c>
      <c r="Z15" s="116"/>
      <c r="AA15" s="60">
        <v>0</v>
      </c>
      <c r="AB15" s="35"/>
      <c r="AC15" s="60">
        <f>1+2</f>
        <v>3</v>
      </c>
      <c r="AD15" s="35"/>
      <c r="AE15" s="60">
        <f>59+35</f>
        <v>94</v>
      </c>
      <c r="AF15" s="35"/>
      <c r="AG15" s="60">
        <f>124+95</f>
        <v>219</v>
      </c>
      <c r="AH15" s="35"/>
      <c r="AI15" s="60"/>
      <c r="AJ15" s="35"/>
      <c r="AK15" s="60"/>
      <c r="AL15" s="35"/>
      <c r="AM15" s="60">
        <f>60+50</f>
        <v>110</v>
      </c>
      <c r="AN15" s="35"/>
      <c r="AO15" s="60">
        <f>33+29</f>
        <v>62</v>
      </c>
      <c r="AP15" s="35"/>
      <c r="AQ15" s="60">
        <f>29+26</f>
        <v>55</v>
      </c>
      <c r="AR15" s="35"/>
      <c r="AS15" s="60">
        <f>29+15</f>
        <v>44</v>
      </c>
      <c r="AT15" s="35"/>
      <c r="AU15" s="60">
        <f>34+20</f>
        <v>54</v>
      </c>
      <c r="AV15" s="35"/>
      <c r="AW15" s="60">
        <f>49+28</f>
        <v>77</v>
      </c>
      <c r="AX15" s="35"/>
      <c r="AY15" s="60">
        <f>56+33</f>
        <v>89</v>
      </c>
      <c r="AZ15" s="35"/>
      <c r="BA15" s="60">
        <f>22+18</f>
        <v>40</v>
      </c>
      <c r="BB15" s="35"/>
      <c r="BC15" s="32">
        <f>205+154</f>
        <v>359</v>
      </c>
      <c r="BD15" s="114"/>
      <c r="BE15" s="32">
        <f>344</f>
        <v>344</v>
      </c>
      <c r="BF15" s="114"/>
      <c r="BG15" s="32">
        <v>0</v>
      </c>
      <c r="BH15" s="114"/>
      <c r="BI15" s="32"/>
      <c r="BJ15" s="114"/>
      <c r="BK15" s="115">
        <f t="shared" si="0"/>
        <v>703</v>
      </c>
    </row>
    <row r="16" spans="1:63" x14ac:dyDescent="0.2">
      <c r="A16" s="61" t="s">
        <v>31</v>
      </c>
      <c r="C16" s="60">
        <f>22+30</f>
        <v>52</v>
      </c>
      <c r="E16" s="60">
        <f>181+208</f>
        <v>389</v>
      </c>
      <c r="G16" s="60">
        <f>6+5</f>
        <v>11</v>
      </c>
      <c r="I16" s="60">
        <f>1+4</f>
        <v>5</v>
      </c>
      <c r="K16" s="60">
        <v>1</v>
      </c>
      <c r="M16" s="60">
        <f>1+2</f>
        <v>3</v>
      </c>
      <c r="O16" s="60">
        <v>0</v>
      </c>
      <c r="Q16" s="60">
        <v>0</v>
      </c>
      <c r="S16" s="60">
        <f>15+18</f>
        <v>33</v>
      </c>
      <c r="U16" s="60">
        <f>174+213</f>
        <v>387</v>
      </c>
      <c r="W16" s="60">
        <f>2+2</f>
        <v>4</v>
      </c>
      <c r="Y16" s="60">
        <f>1+3</f>
        <v>4</v>
      </c>
      <c r="Z16" s="116"/>
      <c r="AA16" s="60">
        <v>0</v>
      </c>
      <c r="AB16" s="35"/>
      <c r="AC16" s="60">
        <f>2+2</f>
        <v>4</v>
      </c>
      <c r="AD16" s="35"/>
      <c r="AE16" s="60">
        <f>13+20</f>
        <v>33</v>
      </c>
      <c r="AF16" s="35"/>
      <c r="AG16" s="60">
        <f>174+199</f>
        <v>373</v>
      </c>
      <c r="AH16" s="35"/>
      <c r="AI16" s="60"/>
      <c r="AJ16" s="35"/>
      <c r="AK16" s="60"/>
      <c r="AL16" s="35"/>
      <c r="AM16" s="60">
        <f>94+132</f>
        <v>226</v>
      </c>
      <c r="AN16" s="35"/>
      <c r="AO16" s="60">
        <f>28+51</f>
        <v>79</v>
      </c>
      <c r="AP16" s="35"/>
      <c r="AQ16" s="60">
        <f>19+45</f>
        <v>64</v>
      </c>
      <c r="AR16" s="35"/>
      <c r="AS16" s="60">
        <f>30+26</f>
        <v>56</v>
      </c>
      <c r="AT16" s="35"/>
      <c r="AU16" s="60">
        <f>60+76</f>
        <v>136</v>
      </c>
      <c r="AV16" s="35"/>
      <c r="AW16" s="60">
        <f>81+108</f>
        <v>189</v>
      </c>
      <c r="AX16" s="35"/>
      <c r="AY16" s="60">
        <f>83+113</f>
        <v>196</v>
      </c>
      <c r="AZ16" s="35"/>
      <c r="BA16" s="60">
        <f>12+19</f>
        <v>31</v>
      </c>
      <c r="BB16" s="35"/>
      <c r="BC16" s="32">
        <f>228+273</f>
        <v>501</v>
      </c>
      <c r="BD16" s="114"/>
      <c r="BE16" s="32"/>
      <c r="BF16" s="114"/>
      <c r="BG16" s="32"/>
      <c r="BH16" s="114"/>
      <c r="BI16" s="32"/>
      <c r="BJ16" s="114"/>
      <c r="BK16" s="115">
        <f t="shared" si="0"/>
        <v>501</v>
      </c>
    </row>
    <row r="17" spans="1:63" x14ac:dyDescent="0.2">
      <c r="A17" s="61" t="s">
        <v>32</v>
      </c>
      <c r="C17" s="60">
        <f>5+4</f>
        <v>9</v>
      </c>
      <c r="E17" s="60">
        <f>104+89</f>
        <v>193</v>
      </c>
      <c r="G17" s="60">
        <f>1+2</f>
        <v>3</v>
      </c>
      <c r="I17" s="60">
        <f>1+1</f>
        <v>2</v>
      </c>
      <c r="K17" s="60">
        <v>0</v>
      </c>
      <c r="M17" s="60">
        <v>1</v>
      </c>
      <c r="O17" s="60">
        <v>0</v>
      </c>
      <c r="Q17" s="60">
        <v>0</v>
      </c>
      <c r="S17" s="60">
        <f>5+3</f>
        <v>8</v>
      </c>
      <c r="U17" s="60">
        <f>97+93</f>
        <v>190</v>
      </c>
      <c r="W17" s="60">
        <v>0</v>
      </c>
      <c r="Y17" s="60">
        <f>2+2</f>
        <v>4</v>
      </c>
      <c r="Z17" s="116"/>
      <c r="AA17" s="60">
        <v>0</v>
      </c>
      <c r="AB17" s="35"/>
      <c r="AC17" s="60">
        <v>0</v>
      </c>
      <c r="AD17" s="35"/>
      <c r="AE17" s="60">
        <f>10+4</f>
        <v>14</v>
      </c>
      <c r="AF17" s="35"/>
      <c r="AG17" s="60">
        <f>93+81</f>
        <v>174</v>
      </c>
      <c r="AH17" s="35"/>
      <c r="AI17" s="60"/>
      <c r="AJ17" s="35"/>
      <c r="AK17" s="60"/>
      <c r="AL17" s="35"/>
      <c r="AM17" s="60">
        <f>51+37</f>
        <v>88</v>
      </c>
      <c r="AN17" s="35"/>
      <c r="AO17" s="60">
        <f>21+23</f>
        <v>44</v>
      </c>
      <c r="AP17" s="35"/>
      <c r="AQ17" s="60">
        <f>23+15</f>
        <v>38</v>
      </c>
      <c r="AR17" s="35"/>
      <c r="AS17" s="60">
        <f>19+18</f>
        <v>37</v>
      </c>
      <c r="AT17" s="35"/>
      <c r="AU17" s="60">
        <f>22+23</f>
        <v>45</v>
      </c>
      <c r="AV17" s="35"/>
      <c r="AW17" s="60">
        <f>52+39</f>
        <v>91</v>
      </c>
      <c r="AX17" s="35"/>
      <c r="AY17" s="60">
        <f>37+38</f>
        <v>75</v>
      </c>
      <c r="AZ17" s="35"/>
      <c r="BA17" s="60">
        <f>18+5</f>
        <v>23</v>
      </c>
      <c r="BB17" s="35"/>
      <c r="BC17" s="32">
        <f>115+103</f>
        <v>218</v>
      </c>
      <c r="BD17" s="114"/>
      <c r="BE17" s="32"/>
      <c r="BF17" s="114"/>
      <c r="BG17" s="32"/>
      <c r="BH17" s="114"/>
      <c r="BI17" s="32"/>
      <c r="BJ17" s="114"/>
      <c r="BK17" s="115">
        <f t="shared" si="0"/>
        <v>218</v>
      </c>
    </row>
    <row r="18" spans="1:63" x14ac:dyDescent="0.2">
      <c r="A18" s="61" t="s">
        <v>35</v>
      </c>
      <c r="C18" s="60">
        <f>8+7</f>
        <v>15</v>
      </c>
      <c r="E18" s="60">
        <f>174+156</f>
        <v>330</v>
      </c>
      <c r="G18" s="60">
        <f>4+4</f>
        <v>8</v>
      </c>
      <c r="I18" s="60">
        <f>2+1</f>
        <v>3</v>
      </c>
      <c r="K18" s="60">
        <f>1+1</f>
        <v>2</v>
      </c>
      <c r="M18" s="60">
        <v>1</v>
      </c>
      <c r="O18" s="60">
        <v>1</v>
      </c>
      <c r="Q18" s="60">
        <v>0</v>
      </c>
      <c r="S18" s="60">
        <f>7+6</f>
        <v>13</v>
      </c>
      <c r="U18" s="60">
        <f>177+157</f>
        <v>334</v>
      </c>
      <c r="W18" s="60">
        <v>2</v>
      </c>
      <c r="Y18" s="60">
        <f>2+1</f>
        <v>3</v>
      </c>
      <c r="Z18" s="116"/>
      <c r="AA18" s="60">
        <v>2</v>
      </c>
      <c r="AB18" s="35"/>
      <c r="AC18" s="60">
        <f>1+2</f>
        <v>3</v>
      </c>
      <c r="AD18" s="35"/>
      <c r="AE18" s="60">
        <f>12+13</f>
        <v>25</v>
      </c>
      <c r="AF18" s="35"/>
      <c r="AG18" s="60">
        <f>171+154</f>
        <v>325</v>
      </c>
      <c r="AH18" s="35"/>
      <c r="AI18" s="60"/>
      <c r="AJ18" s="35"/>
      <c r="AK18" s="60"/>
      <c r="AL18" s="35"/>
      <c r="AM18" s="60">
        <f>127+103</f>
        <v>230</v>
      </c>
      <c r="AN18" s="35"/>
      <c r="AO18" s="60">
        <f>37+28</f>
        <v>65</v>
      </c>
      <c r="AP18" s="35"/>
      <c r="AQ18" s="60">
        <f>39+34</f>
        <v>73</v>
      </c>
      <c r="AR18" s="35"/>
      <c r="AS18" s="60">
        <f>32+26</f>
        <v>58</v>
      </c>
      <c r="AT18" s="35"/>
      <c r="AU18" s="60">
        <f>87+74</f>
        <v>161</v>
      </c>
      <c r="AV18" s="35"/>
      <c r="AW18" s="60">
        <f>111+108</f>
        <v>219</v>
      </c>
      <c r="AX18" s="35"/>
      <c r="AY18" s="60">
        <f>94+86</f>
        <v>180</v>
      </c>
      <c r="AZ18" s="35"/>
      <c r="BA18" s="60">
        <f>23+14</f>
        <v>37</v>
      </c>
      <c r="BB18" s="35"/>
      <c r="BC18" s="32">
        <f>199+181</f>
        <v>380</v>
      </c>
      <c r="BD18" s="114"/>
      <c r="BE18" s="32">
        <f>405</f>
        <v>405</v>
      </c>
      <c r="BF18" s="114"/>
      <c r="BG18" s="32">
        <v>0</v>
      </c>
      <c r="BH18" s="114"/>
      <c r="BI18" s="32"/>
      <c r="BJ18" s="114"/>
      <c r="BK18" s="115">
        <f t="shared" si="0"/>
        <v>785</v>
      </c>
    </row>
    <row r="19" spans="1:63" x14ac:dyDescent="0.2">
      <c r="A19" s="61" t="s">
        <v>36</v>
      </c>
      <c r="C19" s="60">
        <f>13+17</f>
        <v>30</v>
      </c>
      <c r="E19" s="60">
        <f>38+38</f>
        <v>76</v>
      </c>
      <c r="G19" s="60">
        <f>2+1</f>
        <v>3</v>
      </c>
      <c r="I19" s="60">
        <v>1</v>
      </c>
      <c r="K19" s="60">
        <v>0</v>
      </c>
      <c r="M19" s="60">
        <v>0</v>
      </c>
      <c r="O19" s="60">
        <v>0</v>
      </c>
      <c r="Q19" s="60">
        <v>2</v>
      </c>
      <c r="S19" s="60">
        <f>12+13</f>
        <v>25</v>
      </c>
      <c r="U19" s="60">
        <f>38+42</f>
        <v>80</v>
      </c>
      <c r="W19" s="60">
        <f>1+1</f>
        <v>2</v>
      </c>
      <c r="Y19" s="60">
        <v>1</v>
      </c>
      <c r="Z19" s="116"/>
      <c r="AA19" s="60">
        <v>0</v>
      </c>
      <c r="AB19" s="35"/>
      <c r="AC19" s="60">
        <v>0</v>
      </c>
      <c r="AD19" s="35"/>
      <c r="AE19" s="60">
        <f>15+15</f>
        <v>30</v>
      </c>
      <c r="AF19" s="35"/>
      <c r="AG19" s="60">
        <f>35+38</f>
        <v>73</v>
      </c>
      <c r="AH19" s="35"/>
      <c r="AI19" s="60"/>
      <c r="AJ19" s="35"/>
      <c r="AK19" s="60"/>
      <c r="AL19" s="35"/>
      <c r="AM19" s="60">
        <f>23+18</f>
        <v>41</v>
      </c>
      <c r="AN19" s="35"/>
      <c r="AO19" s="60">
        <f>19+11</f>
        <v>30</v>
      </c>
      <c r="AP19" s="35"/>
      <c r="AQ19" s="60">
        <f>12+9</f>
        <v>21</v>
      </c>
      <c r="AR19" s="35"/>
      <c r="AS19" s="60">
        <f>14+12</f>
        <v>26</v>
      </c>
      <c r="AT19" s="35"/>
      <c r="AU19" s="60">
        <f>9+11</f>
        <v>20</v>
      </c>
      <c r="AV19" s="35"/>
      <c r="AW19" s="60">
        <f>12+8</f>
        <v>20</v>
      </c>
      <c r="AX19" s="35"/>
      <c r="AY19" s="60">
        <f>23+22</f>
        <v>45</v>
      </c>
      <c r="AZ19" s="35"/>
      <c r="BA19" s="60">
        <f>13+9</f>
        <v>22</v>
      </c>
      <c r="BB19" s="35"/>
      <c r="BC19" s="32">
        <f>59+59</f>
        <v>118</v>
      </c>
      <c r="BD19" s="114"/>
      <c r="BE19" s="32"/>
      <c r="BF19" s="114"/>
      <c r="BG19" s="32"/>
      <c r="BH19" s="114"/>
      <c r="BI19" s="32"/>
      <c r="BJ19" s="114"/>
      <c r="BK19" s="115">
        <f t="shared" si="0"/>
        <v>118</v>
      </c>
    </row>
    <row r="20" spans="1:63" x14ac:dyDescent="0.2">
      <c r="A20" s="61" t="s">
        <v>37</v>
      </c>
      <c r="C20" s="60">
        <f>8+6</f>
        <v>14</v>
      </c>
      <c r="E20" s="60">
        <f>101+71</f>
        <v>172</v>
      </c>
      <c r="G20" s="60">
        <f>7+4</f>
        <v>11</v>
      </c>
      <c r="I20" s="60">
        <f>2+2</f>
        <v>4</v>
      </c>
      <c r="K20" s="60">
        <v>1</v>
      </c>
      <c r="M20" s="60">
        <v>0</v>
      </c>
      <c r="O20" s="60">
        <v>1</v>
      </c>
      <c r="Q20" s="60">
        <v>0</v>
      </c>
      <c r="S20" s="60">
        <f>4+5</f>
        <v>9</v>
      </c>
      <c r="U20" s="60">
        <f>108+76</f>
        <v>184</v>
      </c>
      <c r="W20" s="60">
        <f>1+1</f>
        <v>2</v>
      </c>
      <c r="Y20" s="60">
        <f>1+1</f>
        <v>2</v>
      </c>
      <c r="Z20" s="116"/>
      <c r="AA20" s="60">
        <v>0</v>
      </c>
      <c r="AB20" s="35"/>
      <c r="AC20" s="60">
        <f>2+1</f>
        <v>3</v>
      </c>
      <c r="AD20" s="35"/>
      <c r="AE20" s="60">
        <f>11+9</f>
        <v>20</v>
      </c>
      <c r="AF20" s="35"/>
      <c r="AG20" s="60">
        <f>104+71</f>
        <v>175</v>
      </c>
      <c r="AH20" s="35"/>
      <c r="AI20" s="60"/>
      <c r="AJ20" s="35"/>
      <c r="AK20" s="60"/>
      <c r="AL20" s="35"/>
      <c r="AM20" s="60">
        <f>61+48</f>
        <v>109</v>
      </c>
      <c r="AN20" s="35"/>
      <c r="AO20" s="60">
        <f>21+14</f>
        <v>35</v>
      </c>
      <c r="AP20" s="35"/>
      <c r="AQ20" s="60">
        <f>22+21</f>
        <v>43</v>
      </c>
      <c r="AR20" s="35"/>
      <c r="AS20" s="60">
        <f>12+6</f>
        <v>18</v>
      </c>
      <c r="AT20" s="35"/>
      <c r="AU20" s="60">
        <f>48+34</f>
        <v>82</v>
      </c>
      <c r="AV20" s="35"/>
      <c r="AW20" s="60">
        <f>68+46</f>
        <v>114</v>
      </c>
      <c r="AX20" s="35"/>
      <c r="AY20" s="60">
        <f>60+39</f>
        <v>99</v>
      </c>
      <c r="AZ20" s="35"/>
      <c r="BA20" s="60">
        <f>15+14</f>
        <v>29</v>
      </c>
      <c r="BB20" s="35"/>
      <c r="BC20" s="32">
        <f>124+88</f>
        <v>212</v>
      </c>
      <c r="BD20" s="114"/>
      <c r="BE20" s="32"/>
      <c r="BF20" s="114"/>
      <c r="BG20" s="32"/>
      <c r="BH20" s="114"/>
      <c r="BI20" s="32"/>
      <c r="BJ20" s="114"/>
      <c r="BK20" s="115">
        <f t="shared" si="0"/>
        <v>212</v>
      </c>
    </row>
    <row r="21" spans="1:63" x14ac:dyDescent="0.2">
      <c r="A21" s="61" t="s">
        <v>38</v>
      </c>
      <c r="C21" s="60">
        <f>10+10</f>
        <v>20</v>
      </c>
      <c r="E21" s="60">
        <f>176+153</f>
        <v>329</v>
      </c>
      <c r="G21" s="60">
        <f>5+3</f>
        <v>8</v>
      </c>
      <c r="I21" s="60">
        <f>4+2</f>
        <v>6</v>
      </c>
      <c r="K21" s="60">
        <f>2+1</f>
        <v>3</v>
      </c>
      <c r="M21" s="60">
        <f>1+2</f>
        <v>3</v>
      </c>
      <c r="O21" s="60">
        <v>0</v>
      </c>
      <c r="Q21" s="60">
        <v>1</v>
      </c>
      <c r="R21" s="63" t="s">
        <v>108</v>
      </c>
      <c r="S21" s="60">
        <f>11+4</f>
        <v>15</v>
      </c>
      <c r="U21" s="60">
        <f>172+162</f>
        <v>334</v>
      </c>
      <c r="W21" s="60">
        <f>2+1</f>
        <v>3</v>
      </c>
      <c r="Y21" s="60">
        <f>2+2</f>
        <v>4</v>
      </c>
      <c r="Z21" s="116"/>
      <c r="AA21" s="60">
        <v>0</v>
      </c>
      <c r="AB21" s="35"/>
      <c r="AC21" s="60">
        <f>1+2</f>
        <v>3</v>
      </c>
      <c r="AD21" s="35"/>
      <c r="AE21" s="60">
        <f>14+17</f>
        <v>31</v>
      </c>
      <c r="AF21" s="35"/>
      <c r="AG21" s="60">
        <f>166+148</f>
        <v>314</v>
      </c>
      <c r="AH21" s="35"/>
      <c r="AI21" s="60"/>
      <c r="AJ21" s="35"/>
      <c r="AK21" s="60"/>
      <c r="AL21" s="35"/>
      <c r="AM21" s="60">
        <f>119+111</f>
        <v>230</v>
      </c>
      <c r="AN21" s="35"/>
      <c r="AO21" s="60">
        <f>27+24</f>
        <v>51</v>
      </c>
      <c r="AP21" s="35"/>
      <c r="AQ21" s="60">
        <f>27+26</f>
        <v>53</v>
      </c>
      <c r="AR21" s="35"/>
      <c r="AS21" s="60">
        <f>18+24</f>
        <v>42</v>
      </c>
      <c r="AT21" s="35"/>
      <c r="AU21" s="60">
        <f>89+69</f>
        <v>158</v>
      </c>
      <c r="AV21" s="35"/>
      <c r="AW21" s="60">
        <f>120+112</f>
        <v>232</v>
      </c>
      <c r="AX21" s="35"/>
      <c r="AY21" s="60">
        <f>87+68</f>
        <v>155</v>
      </c>
      <c r="AZ21" s="35"/>
      <c r="BA21" s="60">
        <f>18+13</f>
        <v>31</v>
      </c>
      <c r="BB21" s="35"/>
      <c r="BC21" s="32">
        <f>211+186</f>
        <v>397</v>
      </c>
      <c r="BD21" s="114"/>
      <c r="BE21" s="32"/>
      <c r="BF21" s="114"/>
      <c r="BG21" s="32"/>
      <c r="BH21" s="114"/>
      <c r="BI21" s="32"/>
      <c r="BJ21" s="114"/>
      <c r="BK21" s="115">
        <f t="shared" si="0"/>
        <v>397</v>
      </c>
    </row>
    <row r="22" spans="1:63" x14ac:dyDescent="0.2">
      <c r="A22" s="61" t="s">
        <v>39</v>
      </c>
      <c r="C22" s="60">
        <f>38+35</f>
        <v>73</v>
      </c>
      <c r="E22" s="60">
        <f>82+90</f>
        <v>172</v>
      </c>
      <c r="G22" s="60">
        <f>1+1</f>
        <v>2</v>
      </c>
      <c r="I22" s="60">
        <v>1</v>
      </c>
      <c r="K22" s="60">
        <f>2+2</f>
        <v>4</v>
      </c>
      <c r="M22" s="60">
        <v>3</v>
      </c>
      <c r="O22" s="60">
        <v>1</v>
      </c>
      <c r="Q22" s="60">
        <v>1</v>
      </c>
      <c r="S22" s="60">
        <f>28+32</f>
        <v>60</v>
      </c>
      <c r="U22" s="60">
        <f>85+90</f>
        <v>175</v>
      </c>
      <c r="W22" s="60">
        <f>1+3</f>
        <v>4</v>
      </c>
      <c r="Y22" s="60">
        <f>2+1</f>
        <v>3</v>
      </c>
      <c r="Z22" s="116"/>
      <c r="AA22" s="60">
        <v>0</v>
      </c>
      <c r="AB22" s="35"/>
      <c r="AC22" s="60">
        <v>0</v>
      </c>
      <c r="AD22" s="35"/>
      <c r="AE22" s="60">
        <f>35+38</f>
        <v>73</v>
      </c>
      <c r="AF22" s="35"/>
      <c r="AG22" s="60">
        <f>78+78</f>
        <v>156</v>
      </c>
      <c r="AH22" s="35"/>
      <c r="AI22" s="60"/>
      <c r="AJ22" s="35"/>
      <c r="AK22" s="60"/>
      <c r="AL22" s="35"/>
      <c r="AM22" s="60">
        <f>31+47</f>
        <v>78</v>
      </c>
      <c r="AN22" s="35"/>
      <c r="AO22" s="60">
        <f>20+37</f>
        <v>57</v>
      </c>
      <c r="AP22" s="35"/>
      <c r="AQ22" s="60">
        <f>22+35</f>
        <v>57</v>
      </c>
      <c r="AR22" s="35"/>
      <c r="AS22" s="60">
        <f>59+43</f>
        <v>102</v>
      </c>
      <c r="AT22" s="35"/>
      <c r="AU22" s="60">
        <f>20+17</f>
        <v>37</v>
      </c>
      <c r="AV22" s="35"/>
      <c r="AW22" s="60">
        <f>10+17</f>
        <v>27</v>
      </c>
      <c r="AX22" s="35"/>
      <c r="AY22" s="60">
        <f>27+47</f>
        <v>74</v>
      </c>
      <c r="AZ22" s="35"/>
      <c r="BA22" s="60">
        <f>13+17</f>
        <v>30</v>
      </c>
      <c r="BB22" s="35"/>
      <c r="BC22" s="32">
        <f>137+143</f>
        <v>280</v>
      </c>
      <c r="BD22" s="114"/>
      <c r="BE22" s="32">
        <f>170</f>
        <v>170</v>
      </c>
      <c r="BF22" s="114"/>
      <c r="BG22" s="32">
        <v>0</v>
      </c>
      <c r="BH22" s="114"/>
      <c r="BI22" s="32"/>
      <c r="BJ22" s="114"/>
      <c r="BK22" s="115">
        <f t="shared" si="0"/>
        <v>450</v>
      </c>
    </row>
    <row r="23" spans="1:63" x14ac:dyDescent="0.2">
      <c r="A23" s="61" t="s">
        <v>40</v>
      </c>
      <c r="C23" s="60">
        <f>6+2</f>
        <v>8</v>
      </c>
      <c r="E23" s="60">
        <f>90+92</f>
        <v>182</v>
      </c>
      <c r="G23" s="60">
        <v>1</v>
      </c>
      <c r="I23" s="60">
        <v>1</v>
      </c>
      <c r="K23" s="60">
        <v>0</v>
      </c>
      <c r="M23" s="60">
        <v>0</v>
      </c>
      <c r="O23" s="60">
        <v>1</v>
      </c>
      <c r="Q23" s="60">
        <v>0</v>
      </c>
      <c r="S23" s="60">
        <f>4+3</f>
        <v>7</v>
      </c>
      <c r="U23" s="60">
        <f>88+94</f>
        <v>182</v>
      </c>
      <c r="W23" s="60">
        <v>1</v>
      </c>
      <c r="Y23" s="60">
        <f>1+1</f>
        <v>2</v>
      </c>
      <c r="Z23" s="116"/>
      <c r="AA23" s="60">
        <v>0</v>
      </c>
      <c r="AB23" s="35"/>
      <c r="AC23" s="60">
        <v>0</v>
      </c>
      <c r="AD23" s="35"/>
      <c r="AE23" s="60">
        <f>5+5</f>
        <v>10</v>
      </c>
      <c r="AF23" s="35"/>
      <c r="AG23" s="60">
        <f>86+86</f>
        <v>172</v>
      </c>
      <c r="AH23" s="35"/>
      <c r="AI23" s="60"/>
      <c r="AJ23" s="35"/>
      <c r="AK23" s="60"/>
      <c r="AL23" s="35"/>
      <c r="AM23" s="60">
        <f>48+51</f>
        <v>99</v>
      </c>
      <c r="AN23" s="35"/>
      <c r="AO23" s="60">
        <f>13+13</f>
        <v>26</v>
      </c>
      <c r="AP23" s="35"/>
      <c r="AQ23" s="60">
        <f>8+15</f>
        <v>23</v>
      </c>
      <c r="AR23" s="35"/>
      <c r="AS23" s="60">
        <f>11+12</f>
        <v>23</v>
      </c>
      <c r="AT23" s="35"/>
      <c r="AU23" s="60">
        <f>32+30</f>
        <v>62</v>
      </c>
      <c r="AV23" s="35"/>
      <c r="AW23" s="60">
        <f>58+49</f>
        <v>107</v>
      </c>
      <c r="AX23" s="35"/>
      <c r="AY23" s="60">
        <f>41+39</f>
        <v>80</v>
      </c>
      <c r="AZ23" s="35"/>
      <c r="BA23" s="60">
        <f>9+4</f>
        <v>13</v>
      </c>
      <c r="BB23" s="35"/>
      <c r="BC23" s="32">
        <f>101+100</f>
        <v>201</v>
      </c>
      <c r="BD23" s="114"/>
      <c r="BE23" s="32"/>
      <c r="BF23" s="114"/>
      <c r="BG23" s="32"/>
      <c r="BH23" s="114"/>
      <c r="BI23" s="32"/>
      <c r="BJ23" s="114"/>
      <c r="BK23" s="115">
        <f t="shared" si="0"/>
        <v>201</v>
      </c>
    </row>
    <row r="24" spans="1:63" x14ac:dyDescent="0.2">
      <c r="A24" s="61" t="s">
        <v>41</v>
      </c>
      <c r="C24" s="60">
        <f>24+20</f>
        <v>44</v>
      </c>
      <c r="E24" s="60">
        <f>133+136</f>
        <v>269</v>
      </c>
      <c r="G24" s="60">
        <f>7+4</f>
        <v>11</v>
      </c>
      <c r="I24" s="60">
        <v>0</v>
      </c>
      <c r="K24" s="60">
        <f>1+1</f>
        <v>2</v>
      </c>
      <c r="M24" s="60">
        <v>3</v>
      </c>
      <c r="O24" s="60">
        <v>1</v>
      </c>
      <c r="Q24" s="60">
        <v>1</v>
      </c>
      <c r="S24" s="60">
        <f>17+20</f>
        <v>37</v>
      </c>
      <c r="U24" s="60">
        <f>140+145</f>
        <v>285</v>
      </c>
      <c r="W24" s="60">
        <f>1+2</f>
        <v>3</v>
      </c>
      <c r="Y24" s="60">
        <f>1+1</f>
        <v>2</v>
      </c>
      <c r="Z24" s="116"/>
      <c r="AA24" s="60">
        <v>1</v>
      </c>
      <c r="AB24" s="35"/>
      <c r="AC24" s="60">
        <v>1</v>
      </c>
      <c r="AD24" s="35"/>
      <c r="AE24" s="60">
        <f>25+26</f>
        <v>51</v>
      </c>
      <c r="AF24" s="35"/>
      <c r="AG24" s="60">
        <f>128+137</f>
        <v>265</v>
      </c>
      <c r="AH24" s="35"/>
      <c r="AI24" s="60"/>
      <c r="AJ24" s="35"/>
      <c r="AK24" s="60"/>
      <c r="AL24" s="35"/>
      <c r="AM24" s="60">
        <f>88+105</f>
        <v>193</v>
      </c>
      <c r="AN24" s="35"/>
      <c r="AO24" s="60">
        <f>34+41</f>
        <v>75</v>
      </c>
      <c r="AP24" s="35"/>
      <c r="AQ24" s="60">
        <f>37+38</f>
        <v>75</v>
      </c>
      <c r="AR24" s="35"/>
      <c r="AS24" s="60">
        <f>32+25</f>
        <v>57</v>
      </c>
      <c r="AT24" s="35"/>
      <c r="AU24" s="60">
        <f>63+56</f>
        <v>119</v>
      </c>
      <c r="AV24" s="35"/>
      <c r="AW24" s="60">
        <f>99+96</f>
        <v>195</v>
      </c>
      <c r="AX24" s="35"/>
      <c r="AY24" s="60">
        <f>81+68</f>
        <v>149</v>
      </c>
      <c r="AZ24" s="35"/>
      <c r="BA24" s="60">
        <f>23+38</f>
        <v>61</v>
      </c>
      <c r="BB24" s="35"/>
      <c r="BC24" s="32">
        <f>172+172</f>
        <v>344</v>
      </c>
      <c r="BD24" s="114"/>
      <c r="BE24" s="32"/>
      <c r="BF24" s="114"/>
      <c r="BG24" s="32"/>
      <c r="BH24" s="114"/>
      <c r="BI24" s="32"/>
      <c r="BJ24" s="114"/>
      <c r="BK24" s="115">
        <f t="shared" si="0"/>
        <v>344</v>
      </c>
    </row>
    <row r="25" spans="1:63" x14ac:dyDescent="0.2">
      <c r="A25" s="61" t="s">
        <v>42</v>
      </c>
      <c r="C25" s="60">
        <f>31+35</f>
        <v>66</v>
      </c>
      <c r="E25" s="60">
        <f>69+69</f>
        <v>138</v>
      </c>
      <c r="G25" s="60">
        <f>1+2</f>
        <v>3</v>
      </c>
      <c r="I25" s="60">
        <f>3+2</f>
        <v>5</v>
      </c>
      <c r="K25" s="60">
        <v>0</v>
      </c>
      <c r="M25" s="60">
        <v>1</v>
      </c>
      <c r="O25" s="60">
        <v>0</v>
      </c>
      <c r="Q25" s="60">
        <v>0</v>
      </c>
      <c r="S25" s="60">
        <f>26+30</f>
        <v>56</v>
      </c>
      <c r="U25" s="60">
        <f>73+66</f>
        <v>139</v>
      </c>
      <c r="W25" s="60">
        <f>2+3</f>
        <v>5</v>
      </c>
      <c r="Y25" s="60">
        <f>1+1</f>
        <v>2</v>
      </c>
      <c r="Z25" s="116"/>
      <c r="AA25" s="60">
        <v>1</v>
      </c>
      <c r="AB25" s="35"/>
      <c r="AC25" s="60">
        <v>1</v>
      </c>
      <c r="AD25" s="35"/>
      <c r="AE25" s="60">
        <f>32+36</f>
        <v>68</v>
      </c>
      <c r="AF25" s="35"/>
      <c r="AG25" s="60">
        <f>67+62</f>
        <v>129</v>
      </c>
      <c r="AH25" s="35"/>
      <c r="AI25" s="60"/>
      <c r="AJ25" s="35"/>
      <c r="AK25" s="60"/>
      <c r="AL25" s="35"/>
      <c r="AM25" s="60">
        <f>33+33</f>
        <v>66</v>
      </c>
      <c r="AN25" s="35"/>
      <c r="AO25" s="60">
        <f>20+33</f>
        <v>53</v>
      </c>
      <c r="AP25" s="35"/>
      <c r="AQ25" s="60">
        <f>25+24</f>
        <v>49</v>
      </c>
      <c r="AR25" s="35"/>
      <c r="AS25" s="60">
        <f>29+27</f>
        <v>56</v>
      </c>
      <c r="AT25" s="35"/>
      <c r="AU25" s="60">
        <f>15+13</f>
        <v>28</v>
      </c>
      <c r="AV25" s="35"/>
      <c r="AW25" s="60">
        <f>18+13</f>
        <v>31</v>
      </c>
      <c r="AX25" s="35"/>
      <c r="AY25" s="60">
        <f>35+40</f>
        <v>75</v>
      </c>
      <c r="AZ25" s="35"/>
      <c r="BA25" s="60">
        <f>20+12</f>
        <v>32</v>
      </c>
      <c r="BB25" s="35"/>
      <c r="BC25" s="32">
        <f>113+112</f>
        <v>225</v>
      </c>
      <c r="BD25" s="114"/>
      <c r="BE25" s="32"/>
      <c r="BF25" s="114"/>
      <c r="BG25" s="32"/>
      <c r="BH25" s="114"/>
      <c r="BI25" s="32"/>
      <c r="BJ25" s="114"/>
      <c r="BK25" s="115">
        <f t="shared" si="0"/>
        <v>225</v>
      </c>
    </row>
    <row r="26" spans="1:63" x14ac:dyDescent="0.2">
      <c r="A26" s="61" t="s">
        <v>43</v>
      </c>
      <c r="C26" s="60">
        <f>51+40</f>
        <v>91</v>
      </c>
      <c r="E26" s="60">
        <f>111+123</f>
        <v>234</v>
      </c>
      <c r="G26" s="60">
        <f>5+10</f>
        <v>15</v>
      </c>
      <c r="I26" s="60">
        <f>1+2</f>
        <v>3</v>
      </c>
      <c r="K26" s="60">
        <v>1</v>
      </c>
      <c r="M26" s="60">
        <v>1</v>
      </c>
      <c r="O26" s="60">
        <v>2</v>
      </c>
      <c r="Q26" s="60">
        <v>0</v>
      </c>
      <c r="S26" s="60">
        <f>40+34</f>
        <v>74</v>
      </c>
      <c r="U26" s="60">
        <f>118+128</f>
        <v>246</v>
      </c>
      <c r="W26" s="60">
        <v>2</v>
      </c>
      <c r="Y26" s="60">
        <f>3+2</f>
        <v>5</v>
      </c>
      <c r="Z26" s="116"/>
      <c r="AA26" s="60">
        <v>1</v>
      </c>
      <c r="AB26" s="35"/>
      <c r="AC26" s="60">
        <f>2+3</f>
        <v>5</v>
      </c>
      <c r="AD26" s="35"/>
      <c r="AE26" s="60">
        <f>52+46</f>
        <v>98</v>
      </c>
      <c r="AF26" s="35"/>
      <c r="AG26" s="60">
        <f>108+118</f>
        <v>226</v>
      </c>
      <c r="AH26" s="35"/>
      <c r="AI26" s="60"/>
      <c r="AJ26" s="35"/>
      <c r="AK26" s="60"/>
      <c r="AL26" s="35"/>
      <c r="AM26" s="60">
        <f>62+66</f>
        <v>128</v>
      </c>
      <c r="AN26" s="35"/>
      <c r="AO26" s="60">
        <f>45+29</f>
        <v>74</v>
      </c>
      <c r="AP26" s="35"/>
      <c r="AQ26" s="60">
        <f>42+49</f>
        <v>91</v>
      </c>
      <c r="AR26" s="35"/>
      <c r="AS26" s="60">
        <f>47+52</f>
        <v>99</v>
      </c>
      <c r="AT26" s="35"/>
      <c r="AU26" s="60">
        <f>30+39</f>
        <v>69</v>
      </c>
      <c r="AV26" s="35"/>
      <c r="AW26" s="60">
        <f>46+54</f>
        <v>100</v>
      </c>
      <c r="AX26" s="35"/>
      <c r="AY26" s="60">
        <f>57+64</f>
        <v>121</v>
      </c>
      <c r="AZ26" s="35"/>
      <c r="BA26" s="60">
        <f>30+27</f>
        <v>57</v>
      </c>
      <c r="BB26" s="35"/>
      <c r="BC26" s="32">
        <f>178+187</f>
        <v>365</v>
      </c>
      <c r="BD26" s="114"/>
      <c r="BE26" s="32">
        <v>125</v>
      </c>
      <c r="BF26" s="114"/>
      <c r="BG26" s="32">
        <v>0</v>
      </c>
      <c r="BH26" s="114"/>
      <c r="BI26" s="32"/>
      <c r="BJ26" s="114"/>
      <c r="BK26" s="115">
        <f t="shared" si="0"/>
        <v>490</v>
      </c>
    </row>
    <row r="27" spans="1:63" x14ac:dyDescent="0.2">
      <c r="A27" s="61" t="s">
        <v>44</v>
      </c>
      <c r="C27" s="60">
        <f>101+66</f>
        <v>167</v>
      </c>
      <c r="E27" s="60">
        <f>118+93</f>
        <v>211</v>
      </c>
      <c r="G27" s="60">
        <f>5+6</f>
        <v>11</v>
      </c>
      <c r="I27" s="60">
        <f>2+2</f>
        <v>4</v>
      </c>
      <c r="K27" s="60">
        <f>2+1</f>
        <v>3</v>
      </c>
      <c r="M27" s="60">
        <f>2+1</f>
        <v>3</v>
      </c>
      <c r="O27" s="60">
        <f>1+2</f>
        <v>3</v>
      </c>
      <c r="Q27" s="60">
        <v>1</v>
      </c>
      <c r="S27" s="60">
        <f>98+59</f>
        <v>157</v>
      </c>
      <c r="U27" s="60">
        <f>125+101</f>
        <v>226</v>
      </c>
      <c r="W27" s="60">
        <v>3</v>
      </c>
      <c r="Y27" s="60">
        <f>3+1</f>
        <v>4</v>
      </c>
      <c r="Z27" s="116"/>
      <c r="AA27" s="60">
        <v>1</v>
      </c>
      <c r="AB27" s="35"/>
      <c r="AC27" s="60">
        <v>2</v>
      </c>
      <c r="AD27" s="35"/>
      <c r="AE27" s="60">
        <f>105+66</f>
        <v>171</v>
      </c>
      <c r="AF27" s="35"/>
      <c r="AG27" s="60">
        <f>113+91</f>
        <v>204</v>
      </c>
      <c r="AH27" s="35"/>
      <c r="AI27" s="60"/>
      <c r="AJ27" s="35"/>
      <c r="AK27" s="60"/>
      <c r="AL27" s="35"/>
      <c r="AM27" s="60">
        <f>69+58</f>
        <v>127</v>
      </c>
      <c r="AN27" s="35"/>
      <c r="AO27" s="60">
        <f>94+53</f>
        <v>147</v>
      </c>
      <c r="AP27" s="35"/>
      <c r="AQ27" s="60">
        <f>70+40</f>
        <v>110</v>
      </c>
      <c r="AR27" s="35"/>
      <c r="AS27" s="60">
        <f>72+50</f>
        <v>122</v>
      </c>
      <c r="AT27" s="35"/>
      <c r="AU27" s="60">
        <f>40+22</f>
        <v>62</v>
      </c>
      <c r="AV27" s="35"/>
      <c r="AW27" s="60">
        <f>39+31</f>
        <v>70</v>
      </c>
      <c r="AX27" s="35"/>
      <c r="AY27" s="60">
        <f>95+63</f>
        <v>158</v>
      </c>
      <c r="AZ27" s="35"/>
      <c r="BA27" s="60">
        <f>65+31</f>
        <v>96</v>
      </c>
      <c r="BB27" s="35"/>
      <c r="BC27" s="32">
        <f>248+173</f>
        <v>421</v>
      </c>
      <c r="BD27" s="114"/>
      <c r="BE27" s="32"/>
      <c r="BF27" s="114"/>
      <c r="BG27" s="32"/>
      <c r="BH27" s="114"/>
      <c r="BI27" s="32"/>
      <c r="BJ27" s="114"/>
      <c r="BK27" s="115">
        <f t="shared" si="0"/>
        <v>421</v>
      </c>
    </row>
    <row r="28" spans="1:63" x14ac:dyDescent="0.2">
      <c r="A28" s="61" t="s">
        <v>45</v>
      </c>
      <c r="C28" s="60">
        <f>52+71</f>
        <v>123</v>
      </c>
      <c r="E28" s="60">
        <f>86+90</f>
        <v>176</v>
      </c>
      <c r="G28" s="60">
        <f>1+3</f>
        <v>4</v>
      </c>
      <c r="I28" s="60">
        <f>2+4</f>
        <v>6</v>
      </c>
      <c r="K28" s="60">
        <f>3+2</f>
        <v>5</v>
      </c>
      <c r="M28" s="60">
        <v>1</v>
      </c>
      <c r="O28" s="60">
        <v>1</v>
      </c>
      <c r="Q28" s="60">
        <v>0</v>
      </c>
      <c r="S28" s="60">
        <f>44+64</f>
        <v>108</v>
      </c>
      <c r="U28" s="60">
        <f>96+94</f>
        <v>190</v>
      </c>
      <c r="W28" s="60">
        <v>3</v>
      </c>
      <c r="Y28" s="60">
        <v>1</v>
      </c>
      <c r="Z28" s="116"/>
      <c r="AA28" s="60">
        <f>1+1</f>
        <v>2</v>
      </c>
      <c r="AB28" s="35"/>
      <c r="AC28" s="60">
        <v>2</v>
      </c>
      <c r="AD28" s="35"/>
      <c r="AE28" s="60">
        <f>54+68</f>
        <v>122</v>
      </c>
      <c r="AF28" s="35"/>
      <c r="AG28" s="60">
        <f>86+87</f>
        <v>173</v>
      </c>
      <c r="AH28" s="35"/>
      <c r="AI28" s="60">
        <f>50+67</f>
        <v>117</v>
      </c>
      <c r="AJ28" s="35"/>
      <c r="AK28" s="60">
        <f>86+89</f>
        <v>175</v>
      </c>
      <c r="AL28" s="35"/>
      <c r="AM28" s="60">
        <f>52+54</f>
        <v>106</v>
      </c>
      <c r="AN28" s="35"/>
      <c r="AO28" s="60">
        <f>32+33</f>
        <v>65</v>
      </c>
      <c r="AP28" s="35"/>
      <c r="AQ28" s="60">
        <f>42+42</f>
        <v>84</v>
      </c>
      <c r="AR28" s="35"/>
      <c r="AS28" s="60">
        <f>50+47</f>
        <v>97</v>
      </c>
      <c r="AT28" s="35"/>
      <c r="AU28" s="60">
        <f>25+26</f>
        <v>51</v>
      </c>
      <c r="AV28" s="35"/>
      <c r="AW28" s="60">
        <f>40+25</f>
        <v>65</v>
      </c>
      <c r="AX28" s="35"/>
      <c r="AY28" s="60">
        <f>61+66</f>
        <v>127</v>
      </c>
      <c r="AZ28" s="35"/>
      <c r="BA28" s="60">
        <f>36+53</f>
        <v>89</v>
      </c>
      <c r="BB28" s="35"/>
      <c r="BC28" s="32">
        <f>152+176</f>
        <v>328</v>
      </c>
      <c r="BD28" s="114"/>
      <c r="BE28" s="32">
        <v>337</v>
      </c>
      <c r="BF28" s="114"/>
      <c r="BG28" s="32">
        <f>63</f>
        <v>63</v>
      </c>
      <c r="BH28" s="114"/>
      <c r="BI28" s="32"/>
      <c r="BJ28" s="114"/>
      <c r="BK28" s="115">
        <f t="shared" si="0"/>
        <v>728</v>
      </c>
    </row>
    <row r="29" spans="1:63" x14ac:dyDescent="0.2">
      <c r="A29" s="61" t="s">
        <v>46</v>
      </c>
      <c r="C29" s="60">
        <f>59+82</f>
        <v>141</v>
      </c>
      <c r="E29" s="60">
        <f>113+100</f>
        <v>213</v>
      </c>
      <c r="G29" s="60">
        <f>4+2</f>
        <v>6</v>
      </c>
      <c r="I29" s="60">
        <v>1</v>
      </c>
      <c r="K29" s="32">
        <v>1</v>
      </c>
      <c r="M29" s="60">
        <v>0</v>
      </c>
      <c r="O29" s="60">
        <v>0</v>
      </c>
      <c r="Q29" s="60">
        <v>0</v>
      </c>
      <c r="S29" s="60">
        <f>54+74</f>
        <v>128</v>
      </c>
      <c r="U29" s="60">
        <f>113+103</f>
        <v>216</v>
      </c>
      <c r="W29" s="60">
        <f>2+1</f>
        <v>3</v>
      </c>
      <c r="Y29" s="60">
        <v>1</v>
      </c>
      <c r="Z29" s="116"/>
      <c r="AA29" s="60">
        <v>1</v>
      </c>
      <c r="AB29" s="35"/>
      <c r="AC29" s="60">
        <f>1+1</f>
        <v>2</v>
      </c>
      <c r="AD29" s="35"/>
      <c r="AE29" s="60">
        <f>62+80</f>
        <v>142</v>
      </c>
      <c r="AF29" s="35"/>
      <c r="AG29" s="60">
        <f>106+94</f>
        <v>200</v>
      </c>
      <c r="AH29" s="35"/>
      <c r="AI29" s="60">
        <f>56+81</f>
        <v>137</v>
      </c>
      <c r="AJ29" s="35"/>
      <c r="AK29" s="60">
        <f>108+95</f>
        <v>203</v>
      </c>
      <c r="AL29" s="35"/>
      <c r="AM29" s="60">
        <f>64+63</f>
        <v>127</v>
      </c>
      <c r="AN29" s="35"/>
      <c r="AO29" s="60">
        <f>51+48</f>
        <v>99</v>
      </c>
      <c r="AP29" s="35"/>
      <c r="AQ29" s="60">
        <f>62+59</f>
        <v>121</v>
      </c>
      <c r="AR29" s="35"/>
      <c r="AS29" s="60">
        <f>42+46</f>
        <v>88</v>
      </c>
      <c r="AT29" s="35"/>
      <c r="AU29" s="60">
        <f>25+28</f>
        <v>53</v>
      </c>
      <c r="AV29" s="35"/>
      <c r="AW29" s="60">
        <f>46+35</f>
        <v>81</v>
      </c>
      <c r="AX29" s="35"/>
      <c r="AY29" s="60">
        <f>68+57</f>
        <v>125</v>
      </c>
      <c r="AZ29" s="35"/>
      <c r="BA29" s="60">
        <f>52+50</f>
        <v>102</v>
      </c>
      <c r="BB29" s="35"/>
      <c r="BC29" s="32">
        <f>185+188</f>
        <v>373</v>
      </c>
      <c r="BD29" s="114"/>
      <c r="BE29" s="32"/>
      <c r="BF29" s="114"/>
      <c r="BG29" s="32"/>
      <c r="BH29" s="114"/>
      <c r="BI29" s="32"/>
      <c r="BJ29" s="114"/>
      <c r="BK29" s="115">
        <f t="shared" si="0"/>
        <v>373</v>
      </c>
    </row>
    <row r="30" spans="1:63" x14ac:dyDescent="0.2">
      <c r="A30" s="61" t="s">
        <v>47</v>
      </c>
      <c r="C30" s="60">
        <f>43+67</f>
        <v>110</v>
      </c>
      <c r="E30" s="60">
        <f>82+94</f>
        <v>176</v>
      </c>
      <c r="G30" s="60">
        <f>1+2</f>
        <v>3</v>
      </c>
      <c r="I30" s="60">
        <f>3+1</f>
        <v>4</v>
      </c>
      <c r="K30" s="60">
        <v>0</v>
      </c>
      <c r="M30" s="60">
        <f>1+2</f>
        <v>3</v>
      </c>
      <c r="O30" s="60">
        <v>0</v>
      </c>
      <c r="Q30" s="60">
        <v>0</v>
      </c>
      <c r="S30" s="60">
        <f>34+57</f>
        <v>91</v>
      </c>
      <c r="U30" s="60">
        <f>90+103</f>
        <v>193</v>
      </c>
      <c r="W30" s="60">
        <v>2</v>
      </c>
      <c r="Y30" s="60">
        <f>1+2</f>
        <v>3</v>
      </c>
      <c r="Z30" s="116"/>
      <c r="AA30" s="60">
        <v>2</v>
      </c>
      <c r="AB30" s="35"/>
      <c r="AC30" s="60">
        <v>1</v>
      </c>
      <c r="AD30" s="35"/>
      <c r="AE30" s="60">
        <f>41+72</f>
        <v>113</v>
      </c>
      <c r="AF30" s="35"/>
      <c r="AG30" s="60">
        <f>81+88</f>
        <v>169</v>
      </c>
      <c r="AH30" s="35"/>
      <c r="AI30" s="60">
        <f>39+65</f>
        <v>104</v>
      </c>
      <c r="AJ30" s="35"/>
      <c r="AK30" s="60">
        <f>79+98</f>
        <v>177</v>
      </c>
      <c r="AL30" s="35"/>
      <c r="AM30" s="60">
        <f>45+49</f>
        <v>94</v>
      </c>
      <c r="AN30" s="35"/>
      <c r="AO30" s="60">
        <f>25+34</f>
        <v>59</v>
      </c>
      <c r="AP30" s="35"/>
      <c r="AQ30" s="60">
        <f>43+51</f>
        <v>94</v>
      </c>
      <c r="AR30" s="35"/>
      <c r="AS30" s="60">
        <f>51+57</f>
        <v>108</v>
      </c>
      <c r="AT30" s="35"/>
      <c r="AU30" s="60">
        <f>24+25</f>
        <v>49</v>
      </c>
      <c r="AV30" s="35"/>
      <c r="AW30" s="60">
        <f>23+27</f>
        <v>50</v>
      </c>
      <c r="AX30" s="35"/>
      <c r="AY30" s="60">
        <f>51+60</f>
        <v>111</v>
      </c>
      <c r="AZ30" s="35"/>
      <c r="BA30" s="60">
        <f>31+51</f>
        <v>82</v>
      </c>
      <c r="BB30" s="35"/>
      <c r="BC30" s="32">
        <f>135+172</f>
        <v>307</v>
      </c>
      <c r="BD30" s="114"/>
      <c r="BE30" s="32"/>
      <c r="BF30" s="114"/>
      <c r="BG30" s="32"/>
      <c r="BH30" s="114"/>
      <c r="BI30" s="32"/>
      <c r="BJ30" s="114"/>
      <c r="BK30" s="115">
        <f t="shared" si="0"/>
        <v>307</v>
      </c>
    </row>
    <row r="31" spans="1:63" x14ac:dyDescent="0.2">
      <c r="A31" s="61" t="s">
        <v>48</v>
      </c>
      <c r="C31" s="60">
        <f>85+88</f>
        <v>173</v>
      </c>
      <c r="E31" s="60">
        <f>82+77</f>
        <v>159</v>
      </c>
      <c r="G31" s="60">
        <v>4</v>
      </c>
      <c r="I31" s="60">
        <v>1</v>
      </c>
      <c r="K31" s="60">
        <v>1</v>
      </c>
      <c r="M31" s="60">
        <v>1</v>
      </c>
      <c r="O31" s="60">
        <v>0</v>
      </c>
      <c r="Q31" s="60">
        <v>0</v>
      </c>
      <c r="S31" s="60">
        <f>74+79</f>
        <v>153</v>
      </c>
      <c r="U31" s="60">
        <f>89+91</f>
        <v>180</v>
      </c>
      <c r="W31" s="60">
        <v>1</v>
      </c>
      <c r="Y31" s="60">
        <v>0</v>
      </c>
      <c r="Z31" s="116"/>
      <c r="AA31" s="60">
        <v>0</v>
      </c>
      <c r="AB31" s="113"/>
      <c r="AC31" s="60">
        <v>2</v>
      </c>
      <c r="AD31" s="35"/>
      <c r="AE31" s="60">
        <f>87+96</f>
        <v>183</v>
      </c>
      <c r="AF31" s="35"/>
      <c r="AG31" s="60">
        <f>74+70</f>
        <v>144</v>
      </c>
      <c r="AH31" s="35"/>
      <c r="AI31" s="60">
        <f>82+90</f>
        <v>172</v>
      </c>
      <c r="AJ31" s="35"/>
      <c r="AK31" s="60">
        <f>80+76</f>
        <v>156</v>
      </c>
      <c r="AL31" s="35"/>
      <c r="AM31" s="60">
        <f>36+51</f>
        <v>87</v>
      </c>
      <c r="AN31" s="35"/>
      <c r="AO31" s="60">
        <f>55+53</f>
        <v>108</v>
      </c>
      <c r="AP31" s="35"/>
      <c r="AQ31" s="60">
        <f>59+69</f>
        <v>128</v>
      </c>
      <c r="AR31" s="35"/>
      <c r="AS31" s="60">
        <f>40+47</f>
        <v>87</v>
      </c>
      <c r="AT31" s="35"/>
      <c r="AU31" s="60">
        <f>28+31</f>
        <v>59</v>
      </c>
      <c r="AV31" s="35"/>
      <c r="AW31" s="60">
        <f>37+33</f>
        <v>70</v>
      </c>
      <c r="AX31" s="35"/>
      <c r="AY31" s="60">
        <f>46+47</f>
        <v>93</v>
      </c>
      <c r="AZ31" s="35"/>
      <c r="BA31" s="60">
        <f>66+76</f>
        <v>142</v>
      </c>
      <c r="BB31" s="35"/>
      <c r="BC31" s="32">
        <f>171+176</f>
        <v>347</v>
      </c>
      <c r="BD31" s="114"/>
      <c r="BE31" s="32"/>
      <c r="BF31" s="114"/>
      <c r="BG31" s="32"/>
      <c r="BH31" s="114"/>
      <c r="BI31" s="32"/>
      <c r="BJ31" s="114"/>
      <c r="BK31" s="115">
        <f t="shared" si="0"/>
        <v>347</v>
      </c>
    </row>
    <row r="32" spans="1:63" ht="13.5" thickBot="1" x14ac:dyDescent="0.25">
      <c r="C32" s="35"/>
      <c r="E32" s="35"/>
      <c r="G32" s="35"/>
      <c r="I32" s="35"/>
      <c r="K32" s="35"/>
      <c r="M32" s="35"/>
      <c r="O32" s="35"/>
      <c r="Q32" s="35"/>
      <c r="S32" s="35"/>
      <c r="U32" s="35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E32" s="35"/>
      <c r="BG32" s="35"/>
      <c r="BI32" s="35"/>
      <c r="BK32" s="35"/>
    </row>
    <row r="33" spans="1:65" s="114" customFormat="1" ht="13.5" thickBot="1" x14ac:dyDescent="0.25">
      <c r="A33" s="3" t="s">
        <v>24</v>
      </c>
      <c r="C33" s="41">
        <f>+SUM(C11:C31)</f>
        <v>1439</v>
      </c>
      <c r="D33" s="112"/>
      <c r="E33" s="41">
        <f>+SUM(E11:E31)</f>
        <v>4627</v>
      </c>
      <c r="F33" s="112"/>
      <c r="G33" s="41">
        <f>+SUM(G11:G31)</f>
        <v>146</v>
      </c>
      <c r="H33" s="112"/>
      <c r="I33" s="41">
        <f>+SUM(I11:I31)</f>
        <v>56</v>
      </c>
      <c r="J33" s="112"/>
      <c r="K33" s="41">
        <f>+SUM(K11:K31)</f>
        <v>30</v>
      </c>
      <c r="L33" s="112"/>
      <c r="M33" s="41">
        <f>+SUM(M11:M31)</f>
        <v>34</v>
      </c>
      <c r="N33" s="112"/>
      <c r="O33" s="41">
        <f>+SUM(O11:O31)</f>
        <v>15</v>
      </c>
      <c r="P33" s="112"/>
      <c r="Q33" s="41">
        <f>+SUM(Q11:Q31)</f>
        <v>6</v>
      </c>
      <c r="R33" s="112"/>
      <c r="S33" s="41">
        <f>+SUM(S11:S31)</f>
        <v>1229</v>
      </c>
      <c r="T33" s="112"/>
      <c r="U33" s="41">
        <f>+SUM(U11:U31)</f>
        <v>4818</v>
      </c>
      <c r="V33" s="112"/>
      <c r="W33" s="41">
        <f>+SUM(W11:W31)</f>
        <v>52</v>
      </c>
      <c r="X33" s="112"/>
      <c r="Y33" s="41">
        <f>+SUM(Y11:Y31)</f>
        <v>53</v>
      </c>
      <c r="Z33" s="42"/>
      <c r="AA33" s="41">
        <f>+SUM(AA11:AA31)</f>
        <v>15</v>
      </c>
      <c r="AB33" s="42"/>
      <c r="AC33" s="41">
        <f>+SUM(AC11:AC31)</f>
        <v>38</v>
      </c>
      <c r="AD33" s="42"/>
      <c r="AE33" s="41">
        <f>+SUM(AE11:AE31)</f>
        <v>1523</v>
      </c>
      <c r="AF33" s="42"/>
      <c r="AG33" s="41">
        <f>+SUM(AG11:AG31)</f>
        <v>4440</v>
      </c>
      <c r="AH33" s="42"/>
      <c r="AI33" s="41">
        <f>+SUM(AI11:AI31)</f>
        <v>530</v>
      </c>
      <c r="AJ33" s="42"/>
      <c r="AK33" s="41">
        <f>+SUM(AK11:AK31)</f>
        <v>711</v>
      </c>
      <c r="AL33" s="42"/>
      <c r="AM33" s="41">
        <f>+SUM(AM11:AM31)</f>
        <v>2776</v>
      </c>
      <c r="AN33" s="42"/>
      <c r="AO33" s="41">
        <f>+SUM(AO11:AO31)</f>
        <v>1365</v>
      </c>
      <c r="AP33" s="42"/>
      <c r="AQ33" s="41">
        <f>+SUM(AQ11:AQ31)</f>
        <v>1548</v>
      </c>
      <c r="AR33" s="42"/>
      <c r="AS33" s="41">
        <f>+SUM(AS11:AS31)</f>
        <v>1306</v>
      </c>
      <c r="AT33" s="42"/>
      <c r="AU33" s="41">
        <f>+SUM(AU11:AU31)</f>
        <v>1653</v>
      </c>
      <c r="AV33" s="42"/>
      <c r="AW33" s="41">
        <f>+SUM(AW11:AW31)</f>
        <v>2301</v>
      </c>
      <c r="AX33" s="42"/>
      <c r="AY33" s="41">
        <f>+SUM(AY11:AY31)</f>
        <v>2446</v>
      </c>
      <c r="AZ33" s="42"/>
      <c r="BA33" s="41">
        <f>+SUM(BA11:BA31)</f>
        <v>1136</v>
      </c>
      <c r="BB33" s="42"/>
      <c r="BC33" s="41">
        <f>+SUM(BC11:BC31)</f>
        <v>6689</v>
      </c>
      <c r="BE33" s="41">
        <f>+SUM(BE11:BE31)</f>
        <v>1769</v>
      </c>
      <c r="BG33" s="41">
        <f>+SUM(BG11:BG31)</f>
        <v>318</v>
      </c>
      <c r="BI33" s="41">
        <f>+SUM(BI11:BI31)</f>
        <v>0</v>
      </c>
      <c r="BK33" s="41">
        <f>+SUM(BK11:BK31)</f>
        <v>8776</v>
      </c>
    </row>
    <row r="34" spans="1:65" s="273" customFormat="1" x14ac:dyDescent="0.2">
      <c r="A34" s="272" t="s">
        <v>73</v>
      </c>
      <c r="C34" s="49">
        <f>55+48+33+30+45+102</f>
        <v>313</v>
      </c>
      <c r="D34" s="49"/>
      <c r="E34" s="49">
        <f>268+235+305+114+68+218</f>
        <v>1208</v>
      </c>
      <c r="F34" s="49"/>
      <c r="G34" s="49">
        <f>6+3+5+4+5+2</f>
        <v>25</v>
      </c>
      <c r="H34" s="49"/>
      <c r="I34" s="49">
        <f>1+1+1</f>
        <v>3</v>
      </c>
      <c r="J34" s="49"/>
      <c r="K34" s="49">
        <f>1+1+2</f>
        <v>4</v>
      </c>
      <c r="L34" s="49"/>
      <c r="M34" s="49">
        <f>2+4+2+1+1</f>
        <v>10</v>
      </c>
      <c r="N34" s="49"/>
      <c r="O34" s="49">
        <f>1+1+1</f>
        <v>3</v>
      </c>
      <c r="P34" s="49"/>
      <c r="Q34" s="49">
        <f>1</f>
        <v>1</v>
      </c>
      <c r="R34" s="49"/>
      <c r="S34" s="49">
        <f>31+18+12+22+38+93</f>
        <v>214</v>
      </c>
      <c r="T34" s="49"/>
      <c r="U34" s="49">
        <f>321+296+373+137+78+231</f>
        <v>1436</v>
      </c>
      <c r="V34" s="49"/>
      <c r="W34" s="49">
        <f>2+2+1+2+3</f>
        <v>10</v>
      </c>
      <c r="X34" s="49"/>
      <c r="Y34" s="49">
        <v>0</v>
      </c>
      <c r="Z34" s="49"/>
      <c r="AA34" s="49">
        <f>1+3+1</f>
        <v>5</v>
      </c>
      <c r="AB34" s="49"/>
      <c r="AC34" s="49">
        <f>9+5+1+1+1</f>
        <v>17</v>
      </c>
      <c r="AD34" s="49"/>
      <c r="AE34" s="49">
        <f>43+25+19+33+42+122</f>
        <v>284</v>
      </c>
      <c r="AF34" s="49"/>
      <c r="AG34" s="49">
        <f>305+283+348+126+71+207</f>
        <v>1340</v>
      </c>
      <c r="AH34" s="49"/>
      <c r="AI34" s="49">
        <f>109</f>
        <v>109</v>
      </c>
      <c r="AJ34" s="49"/>
      <c r="AK34" s="49">
        <f>205</f>
        <v>205</v>
      </c>
      <c r="AL34" s="49"/>
      <c r="AM34" s="49">
        <f>103+67+69+46+39+109</f>
        <v>433</v>
      </c>
      <c r="AN34" s="49"/>
      <c r="AO34" s="49">
        <f>48+38+33+25+38+61</f>
        <v>243</v>
      </c>
      <c r="AP34" s="49"/>
      <c r="AQ34" s="49">
        <f>62+40+40+27+45+82</f>
        <v>296</v>
      </c>
      <c r="AR34" s="49"/>
      <c r="AS34" s="49">
        <f>230+248+301+99+52+162</f>
        <v>1092</v>
      </c>
      <c r="AT34" s="49"/>
      <c r="AU34" s="49">
        <f>45+26+30+16+20+34</f>
        <v>171</v>
      </c>
      <c r="AV34" s="49"/>
      <c r="AW34" s="49">
        <f>78+63+81+35+23+65</f>
        <v>345</v>
      </c>
      <c r="AX34" s="49"/>
      <c r="AY34" s="49">
        <f>215+196+213+80+54+138</f>
        <v>896</v>
      </c>
      <c r="AZ34" s="49"/>
      <c r="BA34" s="49">
        <f>55+36+35+22+36+84</f>
        <v>268</v>
      </c>
      <c r="BB34" s="49"/>
      <c r="BC34" s="49"/>
      <c r="BE34" s="49"/>
      <c r="BG34" s="49"/>
      <c r="BI34" s="49"/>
      <c r="BK34" s="49"/>
      <c r="BM34" s="49"/>
    </row>
    <row r="35" spans="1:65" s="273" customFormat="1" x14ac:dyDescent="0.2">
      <c r="A35" s="272" t="s">
        <v>25</v>
      </c>
      <c r="C35" s="49">
        <f>41+14</f>
        <v>55</v>
      </c>
      <c r="D35" s="49"/>
      <c r="E35" s="49">
        <f>153+37</f>
        <v>190</v>
      </c>
      <c r="F35" s="49"/>
      <c r="G35" s="49">
        <f>7</f>
        <v>7</v>
      </c>
      <c r="H35" s="49"/>
      <c r="I35" s="49">
        <f>2</f>
        <v>2</v>
      </c>
      <c r="J35" s="49"/>
      <c r="K35" s="49">
        <f>1</f>
        <v>1</v>
      </c>
      <c r="L35" s="49"/>
      <c r="M35" s="49">
        <f>4</f>
        <v>4</v>
      </c>
      <c r="N35" s="49"/>
      <c r="O35" s="49">
        <f>2</f>
        <v>2</v>
      </c>
      <c r="P35" s="49"/>
      <c r="Q35" s="49">
        <v>0</v>
      </c>
      <c r="R35" s="49"/>
      <c r="S35" s="49">
        <f>36+10</f>
        <v>46</v>
      </c>
      <c r="T35" s="49"/>
      <c r="U35" s="49">
        <f>176+44</f>
        <v>220</v>
      </c>
      <c r="V35" s="49"/>
      <c r="W35" s="49">
        <f>2</f>
        <v>2</v>
      </c>
      <c r="X35" s="49"/>
      <c r="Y35" s="49">
        <f>2</f>
        <v>2</v>
      </c>
      <c r="Z35" s="49"/>
      <c r="AA35" s="49">
        <f>3+1</f>
        <v>4</v>
      </c>
      <c r="AB35" s="49"/>
      <c r="AC35" s="49">
        <f>5</f>
        <v>5</v>
      </c>
      <c r="AD35" s="49"/>
      <c r="AE35" s="49">
        <f>49+13</f>
        <v>62</v>
      </c>
      <c r="AF35" s="49"/>
      <c r="AG35" s="49">
        <f>163+45</f>
        <v>208</v>
      </c>
      <c r="AH35" s="49"/>
      <c r="AI35" s="49">
        <v>13</v>
      </c>
      <c r="AJ35" s="49"/>
      <c r="AK35" s="49">
        <f>43</f>
        <v>43</v>
      </c>
      <c r="AL35" s="49"/>
      <c r="AM35" s="49">
        <f>90+19</f>
        <v>109</v>
      </c>
      <c r="AN35" s="49"/>
      <c r="AO35" s="49">
        <f>36+14</f>
        <v>50</v>
      </c>
      <c r="AP35" s="49"/>
      <c r="AQ35" s="49">
        <f>40+17</f>
        <v>57</v>
      </c>
      <c r="AR35" s="49"/>
      <c r="AS35" s="49">
        <f>50+23</f>
        <v>73</v>
      </c>
      <c r="AT35" s="49"/>
      <c r="AU35" s="49">
        <f>68+7</f>
        <v>75</v>
      </c>
      <c r="AV35" s="49"/>
      <c r="AW35" s="49">
        <f>91+9</f>
        <v>100</v>
      </c>
      <c r="AX35" s="49"/>
      <c r="AY35" s="49">
        <f>108+28</f>
        <v>136</v>
      </c>
      <c r="AZ35" s="49"/>
      <c r="BA35" s="49">
        <f>24+16</f>
        <v>40</v>
      </c>
      <c r="BB35" s="49"/>
      <c r="BC35" s="49"/>
      <c r="BE35" s="49"/>
      <c r="BG35" s="49"/>
      <c r="BI35" s="49"/>
      <c r="BK35" s="49"/>
      <c r="BM35" s="49"/>
    </row>
    <row r="36" spans="1:65" ht="13.5" thickBot="1" x14ac:dyDescent="0.25">
      <c r="A36" s="36" t="s">
        <v>79</v>
      </c>
      <c r="C36" s="35">
        <v>3</v>
      </c>
      <c r="D36" s="35"/>
      <c r="E36" s="35">
        <v>14</v>
      </c>
      <c r="F36" s="35"/>
      <c r="G36" s="35">
        <v>0</v>
      </c>
      <c r="H36" s="35"/>
      <c r="I36" s="35">
        <v>0</v>
      </c>
      <c r="J36" s="35"/>
      <c r="K36" s="35">
        <v>0</v>
      </c>
      <c r="L36" s="35"/>
      <c r="M36" s="35">
        <v>0</v>
      </c>
      <c r="N36" s="35"/>
      <c r="O36" s="35">
        <v>0</v>
      </c>
      <c r="P36" s="35"/>
      <c r="Q36" s="35">
        <v>0</v>
      </c>
      <c r="R36" s="35"/>
      <c r="S36" s="35">
        <v>4</v>
      </c>
      <c r="T36" s="35"/>
      <c r="U36" s="35">
        <v>16</v>
      </c>
      <c r="V36" s="35"/>
      <c r="W36" s="35">
        <v>0</v>
      </c>
      <c r="X36" s="35"/>
      <c r="Y36" s="35">
        <v>0</v>
      </c>
      <c r="Z36" s="35"/>
      <c r="AA36" s="35">
        <v>0</v>
      </c>
      <c r="AB36" s="35"/>
      <c r="AC36" s="35">
        <v>0</v>
      </c>
      <c r="AD36" s="35"/>
      <c r="AE36" s="35">
        <v>4</v>
      </c>
      <c r="AF36" s="35"/>
      <c r="AG36" s="35">
        <v>16</v>
      </c>
      <c r="AH36" s="35"/>
      <c r="AI36" s="35">
        <v>1</v>
      </c>
      <c r="AJ36" s="35"/>
      <c r="AK36" s="35">
        <v>0</v>
      </c>
      <c r="AL36" s="35"/>
      <c r="AM36" s="35">
        <v>2</v>
      </c>
      <c r="AN36" s="35"/>
      <c r="AO36" s="35">
        <v>1</v>
      </c>
      <c r="AP36" s="35"/>
      <c r="AQ36" s="35">
        <v>0</v>
      </c>
      <c r="AR36" s="35"/>
      <c r="AS36" s="35">
        <v>3</v>
      </c>
      <c r="AT36" s="35"/>
      <c r="AU36" s="35">
        <v>2</v>
      </c>
      <c r="AV36" s="35"/>
      <c r="AW36" s="35">
        <v>2</v>
      </c>
      <c r="AX36" s="35"/>
      <c r="AY36" s="35">
        <v>8</v>
      </c>
      <c r="AZ36" s="35"/>
      <c r="BA36" s="35">
        <v>5</v>
      </c>
      <c r="BB36" s="35"/>
      <c r="BC36" s="35"/>
      <c r="BE36" s="35"/>
      <c r="BG36" s="35"/>
      <c r="BI36" s="35"/>
      <c r="BK36" s="35"/>
      <c r="BM36" s="35"/>
    </row>
    <row r="37" spans="1:65" s="114" customFormat="1" ht="13.5" thickBot="1" x14ac:dyDescent="0.25">
      <c r="A37" s="3" t="s">
        <v>26</v>
      </c>
      <c r="C37" s="41">
        <f>+SUM(C33:C36)</f>
        <v>1810</v>
      </c>
      <c r="D37" s="112"/>
      <c r="E37" s="41">
        <f>+SUM(E33:E36)</f>
        <v>6039</v>
      </c>
      <c r="F37" s="112"/>
      <c r="G37" s="41">
        <f>+SUM(G33:G36)</f>
        <v>178</v>
      </c>
      <c r="H37" s="112"/>
      <c r="I37" s="41">
        <f>+SUM(I33:I36)</f>
        <v>61</v>
      </c>
      <c r="J37" s="112"/>
      <c r="K37" s="41">
        <f>+SUM(K33:K36)</f>
        <v>35</v>
      </c>
      <c r="L37" s="112"/>
      <c r="M37" s="41">
        <f>+SUM(M33:M36)</f>
        <v>48</v>
      </c>
      <c r="N37" s="112"/>
      <c r="O37" s="41">
        <f>+SUM(O33:O36)</f>
        <v>20</v>
      </c>
      <c r="P37" s="112"/>
      <c r="Q37" s="41">
        <f>+SUM(Q33:Q36)</f>
        <v>7</v>
      </c>
      <c r="R37" s="112"/>
      <c r="S37" s="41">
        <f>+SUM(S33:S36)</f>
        <v>1493</v>
      </c>
      <c r="T37" s="112"/>
      <c r="U37" s="41">
        <f>+SUM(U33:U36)</f>
        <v>6490</v>
      </c>
      <c r="V37" s="112"/>
      <c r="W37" s="41">
        <f>+SUM(W33:W36)</f>
        <v>64</v>
      </c>
      <c r="X37" s="112"/>
      <c r="Y37" s="41">
        <f>+SUM(Y33:Y36)</f>
        <v>55</v>
      </c>
      <c r="Z37" s="42"/>
      <c r="AA37" s="41">
        <f>+SUM(AA33:AA36)</f>
        <v>24</v>
      </c>
      <c r="AB37" s="42"/>
      <c r="AC37" s="41">
        <f>+SUM(AC33:AC36)</f>
        <v>60</v>
      </c>
      <c r="AD37" s="42"/>
      <c r="AE37" s="41">
        <f>+SUM(AE33:AE36)</f>
        <v>1873</v>
      </c>
      <c r="AF37" s="42"/>
      <c r="AG37" s="41">
        <f>+SUM(AG33:AG36)</f>
        <v>6004</v>
      </c>
      <c r="AH37" s="42"/>
      <c r="AI37" s="41">
        <f>+SUM(AI33:AI36)</f>
        <v>653</v>
      </c>
      <c r="AJ37" s="42"/>
      <c r="AK37" s="41">
        <f>+SUM(AK33:AK36)</f>
        <v>959</v>
      </c>
      <c r="AL37" s="42"/>
      <c r="AM37" s="41">
        <f>+SUM(AM33:AM36)</f>
        <v>3320</v>
      </c>
      <c r="AN37" s="42"/>
      <c r="AO37" s="41">
        <f>+SUM(AO33:AO36)</f>
        <v>1659</v>
      </c>
      <c r="AP37" s="42"/>
      <c r="AQ37" s="41">
        <f>+SUM(AQ33:AQ36)</f>
        <v>1901</v>
      </c>
      <c r="AR37" s="42"/>
      <c r="AS37" s="41">
        <f>+SUM(AS33:AS36)</f>
        <v>2474</v>
      </c>
      <c r="AT37" s="42"/>
      <c r="AU37" s="41">
        <f>+SUM(AU33:AU36)</f>
        <v>1901</v>
      </c>
      <c r="AV37" s="42"/>
      <c r="AW37" s="41">
        <f>+SUM(AW33:AW36)</f>
        <v>2748</v>
      </c>
      <c r="AX37" s="42"/>
      <c r="AY37" s="41">
        <f>+SUM(AY33:AY36)</f>
        <v>3486</v>
      </c>
      <c r="AZ37" s="42"/>
      <c r="BA37" s="41">
        <f>+SUM(BA33:BA36)</f>
        <v>1449</v>
      </c>
      <c r="BB37" s="42"/>
      <c r="BC37" s="42"/>
      <c r="BD37" s="111"/>
      <c r="BE37" s="42"/>
      <c r="BF37" s="111"/>
      <c r="BG37" s="42"/>
      <c r="BH37" s="111"/>
      <c r="BI37" s="42"/>
      <c r="BJ37" s="111"/>
      <c r="BK37" s="42"/>
      <c r="BL37" s="111"/>
      <c r="BM37" s="42"/>
    </row>
    <row r="39" spans="1:65" s="117" customFormat="1" x14ac:dyDescent="0.2"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</row>
    <row r="40" spans="1:65" s="117" customFormat="1" x14ac:dyDescent="0.2"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</row>
    <row r="41" spans="1:65" s="117" customFormat="1" x14ac:dyDescent="0.2"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  <c r="BB41" s="118"/>
    </row>
    <row r="42" spans="1:65" s="117" customFormat="1" x14ac:dyDescent="0.2"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</row>
    <row r="43" spans="1:65" s="117" customFormat="1" x14ac:dyDescent="0.2"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</row>
  </sheetData>
  <customSheetViews>
    <customSheetView guid="{E44E71C3-F2DB-4787-90CC-B0F1BDA00262}" scale="75" showPageBreaks="1" printArea="1" view="pageBreakPreview">
      <pane xSplit="1" ySplit="2" topLeftCell="AQ3" activePane="bottomRight" state="frozen"/>
      <selection pane="bottomRight" activeCell="BQ3" sqref="BQ3"/>
      <colBreaks count="2" manualBreakCount="2">
        <brk id="26" max="1048575" man="1"/>
        <brk id="51" max="1048575" man="1"/>
      </colBreaks>
      <pageMargins left="0.75" right="0.75" top="1" bottom="1" header="0.5" footer="0.5"/>
      <pageSetup paperSize="5" scale="75" fitToWidth="3" fitToHeight="3" orientation="landscape" r:id="rId1"/>
      <headerFooter alignWithMargins="0">
        <oddHeader>&amp;C&amp;"Arial,Bold"&amp;11City of Atlantic City
General Election - November 7, 2017
Prepared by the Office of Edward P. McGettigan, Atlantic County Clerk</oddHeader>
        <oddFooter>&amp;R&amp;12Page &amp;P</oddFooter>
      </headerFooter>
    </customSheetView>
    <customSheetView guid="{C3E722D0-E886-4AE8-B327-9CE20DCE1C01}" scale="75" showPageBreaks="1" printArea="1" view="pageBreakPreview">
      <pane xSplit="1" ySplit="5" topLeftCell="B6" activePane="bottomRight" state="frozen"/>
      <selection pane="bottomRight" activeCell="BQ3" sqref="BQ3"/>
      <colBreaks count="3" manualBreakCount="3">
        <brk id="31" max="34" man="1"/>
        <brk id="54" max="34" man="1"/>
        <brk id="81" max="34" man="1"/>
      </colBreaks>
      <pageMargins left="0.75" right="0.75" top="1" bottom="1" header="0.5" footer="0.5"/>
      <pageSetup paperSize="5" scale="75" fitToWidth="3" fitToHeight="3" orientation="landscape" r:id="rId2"/>
      <headerFooter alignWithMargins="0">
        <oddHeader>&amp;C&amp;"Arial,Bold"&amp;11City of Atlantic City
General Election - November 7, 2017
Prepared by the Office of Edward P. McGettigan, Atlantic County Clerk</oddHeader>
        <oddFooter>&amp;R&amp;12Page &amp;P</oddFooter>
      </headerFooter>
    </customSheetView>
    <customSheetView guid="{9227C430-E8A9-4621-9D47-B4F21D97F0A4}" scale="75" showPageBreaks="1" view="pageBreakPreview">
      <pane xSplit="1" ySplit="5" topLeftCell="AN6" activePane="bottomRight" state="frozen"/>
      <selection pane="bottomRight" activeCell="BR31" sqref="BR31"/>
      <colBreaks count="2" manualBreakCount="2">
        <brk id="26" max="1048575" man="1"/>
        <brk id="51" max="1048575" man="1"/>
      </colBreaks>
      <pageMargins left="0.75" right="0.75" top="1" bottom="1" header="0.5" footer="0.5"/>
      <pageSetup paperSize="5" scale="75" fitToWidth="3" fitToHeight="3" orientation="landscape" r:id="rId3"/>
      <headerFooter alignWithMargins="0">
        <oddHeader>&amp;C&amp;"Arial,Bold"&amp;11City of Atlantic City
General Election - November 3, 2015
Prepared by the Office of Edward P. McGettigan, Atlantic County Clerk</oddHeader>
        <oddFooter>&amp;R&amp;12Page &amp;P</oddFooter>
      </headerFooter>
    </customSheetView>
    <customSheetView guid="{7E9A004B-E820-4CD8-B4FD-2F73C3470E10}" scale="75" showPageBreaks="1" view="pageBreakPreview">
      <pane xSplit="1" ySplit="5" topLeftCell="AN6" activePane="bottomRight" state="frozen"/>
      <selection pane="bottomRight" activeCell="BR31" sqref="BR31"/>
      <colBreaks count="2" manualBreakCount="2">
        <brk id="26" max="1048575" man="1"/>
        <brk id="51" max="1048575" man="1"/>
      </colBreaks>
      <pageMargins left="0.75" right="0.75" top="1" bottom="1" header="0.5" footer="0.5"/>
      <pageSetup paperSize="5" scale="75" fitToWidth="3" fitToHeight="3" orientation="landscape" r:id="rId4"/>
      <headerFooter alignWithMargins="0">
        <oddHeader>&amp;C&amp;"Arial,Bold"&amp;11City of Atlantic City
General Election - November 3, 2015
Prepared by the Office of Edward P. McGettigan, Atlantic County Clerk</oddHeader>
        <oddFooter>&amp;R&amp;12Page &amp;P</oddFooter>
      </headerFooter>
    </customSheetView>
    <customSheetView guid="{E8E8F98C-F893-4247-8892-1264000ABD26}" scale="75" showPageBreaks="1" printArea="1" view="pageBreakPreview">
      <pane xSplit="1" ySplit="5" topLeftCell="B6" activePane="bottomRight" state="frozen"/>
      <selection pane="bottomRight" activeCell="BQ3" sqref="BQ3"/>
      <colBreaks count="3" manualBreakCount="3">
        <brk id="31" max="34" man="1"/>
        <brk id="54" max="34" man="1"/>
        <brk id="81" max="34" man="1"/>
      </colBreaks>
      <pageMargins left="0.75" right="0.75" top="1" bottom="1" header="0.5" footer="0.5"/>
      <pageSetup paperSize="5" scale="75" fitToWidth="3" fitToHeight="3" orientation="landscape" r:id="rId5"/>
      <headerFooter alignWithMargins="0">
        <oddHeader>&amp;C&amp;"Arial,Bold"&amp;11City of Atlantic City
General Election - November 7, 2017
Prepared by the Office of Edward P. McGettigan, Atlantic County Clerk</oddHeader>
        <oddFooter>&amp;R&amp;12Page &amp;P</oddFooter>
      </headerFooter>
    </customSheetView>
  </customSheetViews>
  <mergeCells count="6">
    <mergeCell ref="AI5:AK5"/>
    <mergeCell ref="AM5:AW5"/>
    <mergeCell ref="AY5:BA5"/>
    <mergeCell ref="C5:Q5"/>
    <mergeCell ref="S5:AC5"/>
    <mergeCell ref="AE5:AG5"/>
  </mergeCells>
  <phoneticPr fontId="0" type="noConversion"/>
  <pageMargins left="0.75" right="0.75" top="1" bottom="1" header="0.5" footer="0.5"/>
  <pageSetup paperSize="5" scale="75" fitToWidth="3" fitToHeight="3" orientation="landscape" r:id="rId6"/>
  <headerFooter alignWithMargins="0">
    <oddHeader>&amp;C&amp;"Arial,Bold"&amp;11City of Atlantic City
General Election - November 6, 2018
Prepared by the Office of Edward P. McGettigan, Atlantic County Clerk</oddHeader>
    <oddFooter>&amp;R&amp;12Page &amp;P</oddFooter>
  </headerFooter>
  <colBreaks count="2" manualBreakCount="2">
    <brk id="29" max="36" man="1"/>
    <brk id="53" max="36" man="1"/>
  </colBreaks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DF28"/>
  <sheetViews>
    <sheetView zoomScale="75" zoomScaleNormal="75" zoomScaleSheetLayoutView="75" workbookViewId="0">
      <pane xSplit="1" ySplit="6" topLeftCell="B7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1" customWidth="1"/>
    <col min="2" max="2" width="1.7109375" style="1" customWidth="1"/>
    <col min="3" max="3" width="12.140625" style="33" customWidth="1"/>
    <col min="4" max="4" width="1.7109375" style="33" customWidth="1"/>
    <col min="5" max="5" width="11.28515625" style="33" customWidth="1"/>
    <col min="6" max="6" width="1.7109375" style="33" customWidth="1"/>
    <col min="7" max="7" width="15.8554687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5.8554687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4" style="33" customWidth="1"/>
    <col min="18" max="18" width="1.7109375" style="33" customWidth="1"/>
    <col min="19" max="19" width="13.140625" style="33" customWidth="1"/>
    <col min="20" max="20" width="1.7109375" style="33" customWidth="1"/>
    <col min="21" max="21" width="11.57031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1.5703125" style="33" customWidth="1"/>
    <col min="28" max="28" width="1.7109375" style="33" customWidth="1"/>
    <col min="29" max="29" width="11.85546875" style="33" customWidth="1"/>
    <col min="30" max="30" width="1.7109375" style="33" customWidth="1"/>
    <col min="31" max="31" width="12.140625" style="33" customWidth="1"/>
    <col min="32" max="32" width="1.7109375" style="33" customWidth="1"/>
    <col min="33" max="33" width="12.7109375" style="33" customWidth="1"/>
    <col min="34" max="34" width="1.7109375" style="33" customWidth="1"/>
    <col min="35" max="35" width="11.85546875" style="33" customWidth="1"/>
    <col min="36" max="36" width="1.7109375" style="33" customWidth="1"/>
    <col min="37" max="37" width="12.140625" style="33" customWidth="1"/>
    <col min="38" max="38" width="1.7109375" style="33" customWidth="1"/>
    <col min="39" max="39" width="12.140625" style="33" customWidth="1"/>
    <col min="40" max="40" width="1.7109375" style="33" customWidth="1"/>
    <col min="41" max="41" width="12.140625" style="33" customWidth="1"/>
    <col min="42" max="42" width="1.7109375" style="33" customWidth="1"/>
    <col min="43" max="43" width="12.140625" style="33" customWidth="1"/>
    <col min="44" max="44" width="1.7109375" style="33" customWidth="1"/>
    <col min="45" max="45" width="12.140625" style="33" customWidth="1"/>
    <col min="46" max="46" width="1.7109375" style="33" customWidth="1"/>
    <col min="47" max="47" width="9.28515625" style="33" customWidth="1"/>
    <col min="48" max="48" width="1.7109375" style="33" customWidth="1"/>
    <col min="49" max="49" width="9.28515625" style="33" customWidth="1"/>
    <col min="50" max="50" width="1.7109375" style="33" customWidth="1"/>
    <col min="51" max="51" width="13.140625" style="1" customWidth="1"/>
    <col min="52" max="52" width="1.7109375" style="1" customWidth="1"/>
    <col min="53" max="53" width="8.7109375" style="1" customWidth="1"/>
    <col min="54" max="54" width="1.7109375" style="1" customWidth="1"/>
    <col min="55" max="55" width="10.85546875" style="1" customWidth="1"/>
    <col min="56" max="56" width="1.7109375" style="1" customWidth="1"/>
    <col min="57" max="57" width="11.140625" style="1" bestFit="1" customWidth="1"/>
    <col min="58" max="58" width="1.7109375" style="1" customWidth="1"/>
    <col min="59" max="59" width="11.85546875" style="40" customWidth="1"/>
    <col min="60" max="60" width="1.7109375" style="15" customWidth="1"/>
    <col min="61" max="61" width="9.140625" style="15"/>
    <col min="62" max="62" width="1.7109375" style="15" customWidth="1"/>
    <col min="63" max="63" width="9.140625" style="15"/>
    <col min="64" max="64" width="1.7109375" style="15" customWidth="1"/>
    <col min="65" max="65" width="9.140625" style="15"/>
    <col min="66" max="66" width="1.7109375" style="15" customWidth="1"/>
    <col min="67" max="67" width="9.140625" style="15"/>
    <col min="68" max="68" width="1.7109375" style="15" customWidth="1"/>
    <col min="69" max="69" width="9.140625" style="15"/>
    <col min="70" max="70" width="1.7109375" style="15" customWidth="1"/>
    <col min="71" max="71" width="9.140625" style="15"/>
    <col min="72" max="72" width="1.7109375" style="15" customWidth="1"/>
    <col min="73" max="73" width="9.140625" style="15"/>
    <col min="74" max="74" width="1.7109375" style="15" customWidth="1"/>
    <col min="75" max="75" width="9.140625" style="15"/>
    <col min="76" max="76" width="1.7109375" style="15" customWidth="1"/>
    <col min="77" max="77" width="9.140625" style="15"/>
    <col min="78" max="78" width="1.7109375" style="15" customWidth="1"/>
    <col min="79" max="79" width="9.140625" style="15"/>
    <col min="80" max="80" width="1.7109375" style="15" customWidth="1"/>
    <col min="81" max="110" width="9.140625" style="15"/>
    <col min="111" max="16384" width="9.140625" style="1"/>
  </cols>
  <sheetData>
    <row r="2" spans="1:110" s="6" customFormat="1" x14ac:dyDescent="0.2"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BG2" s="47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</row>
    <row r="3" spans="1:110" s="6" customFormat="1" x14ac:dyDescent="0.2">
      <c r="A3" s="89"/>
      <c r="B3" s="221"/>
      <c r="C3" s="278"/>
      <c r="D3" s="278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50"/>
      <c r="R3" s="50"/>
      <c r="S3" s="50"/>
      <c r="T3" s="282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22"/>
      <c r="AZ3" s="222"/>
      <c r="BA3" s="222"/>
      <c r="BB3" s="222"/>
      <c r="BC3" s="222"/>
      <c r="BD3" s="222"/>
      <c r="BE3" s="222"/>
      <c r="BF3" s="222"/>
      <c r="BG3" s="222"/>
      <c r="BH3" s="12"/>
      <c r="BI3" s="12"/>
      <c r="BJ3" s="12"/>
      <c r="BK3" s="12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  <c r="CE3" s="223"/>
      <c r="CF3" s="223"/>
      <c r="CG3" s="223"/>
      <c r="CH3" s="223"/>
      <c r="CI3" s="223"/>
      <c r="CJ3" s="223"/>
      <c r="CK3" s="223"/>
      <c r="CL3" s="223"/>
      <c r="CM3" s="223"/>
      <c r="CN3" s="223"/>
      <c r="CO3" s="223"/>
      <c r="CP3" s="223"/>
      <c r="CQ3" s="223"/>
      <c r="CR3" s="223"/>
      <c r="CS3" s="223"/>
      <c r="CT3" s="223"/>
      <c r="CU3" s="223"/>
      <c r="CV3" s="223"/>
      <c r="CW3" s="223"/>
      <c r="CX3" s="223"/>
      <c r="CY3" s="223"/>
      <c r="CZ3" s="223"/>
      <c r="DA3" s="223"/>
      <c r="DB3" s="223"/>
      <c r="DC3" s="223"/>
      <c r="DD3" s="223"/>
      <c r="DE3" s="223"/>
      <c r="DF3" s="223"/>
    </row>
    <row r="4" spans="1:110" s="6" customFormat="1" x14ac:dyDescent="0.2">
      <c r="A4" s="89"/>
      <c r="B4" s="221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282"/>
      <c r="Q4" s="153"/>
      <c r="R4" s="153"/>
      <c r="S4" s="153"/>
      <c r="T4" s="282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282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282"/>
      <c r="AU4" s="307"/>
      <c r="AV4" s="307"/>
      <c r="AW4" s="307"/>
      <c r="AX4" s="282"/>
      <c r="AY4" s="222"/>
      <c r="AZ4" s="222"/>
      <c r="BA4" s="222"/>
      <c r="BB4" s="222"/>
      <c r="BC4" s="222"/>
      <c r="BD4" s="222"/>
      <c r="BE4" s="222"/>
      <c r="BF4" s="222"/>
      <c r="BG4" s="222"/>
      <c r="BH4" s="12"/>
      <c r="BI4" s="12"/>
      <c r="BJ4" s="12"/>
      <c r="BK4" s="12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</row>
    <row r="5" spans="1:110" s="360" customFormat="1" ht="15.75" thickBot="1" x14ac:dyDescent="0.3">
      <c r="A5" s="309"/>
      <c r="B5" s="358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10"/>
      <c r="AI5" s="461" t="s">
        <v>103</v>
      </c>
      <c r="AJ5" s="461"/>
      <c r="AK5" s="461"/>
      <c r="AL5" s="310"/>
      <c r="AM5" s="461" t="s">
        <v>104</v>
      </c>
      <c r="AN5" s="461"/>
      <c r="AO5" s="461"/>
      <c r="AP5" s="461"/>
      <c r="AQ5" s="461"/>
      <c r="AR5" s="461"/>
      <c r="AS5" s="461"/>
      <c r="AT5" s="359"/>
      <c r="AU5" s="457" t="s">
        <v>196</v>
      </c>
      <c r="AV5" s="457"/>
      <c r="AW5" s="457"/>
      <c r="AX5" s="322"/>
      <c r="BH5" s="313"/>
      <c r="BI5" s="313"/>
      <c r="BJ5" s="313"/>
      <c r="BK5" s="313"/>
      <c r="BL5" s="361"/>
      <c r="BM5" s="361"/>
      <c r="BN5" s="361"/>
      <c r="BO5" s="361"/>
      <c r="BP5" s="361"/>
      <c r="BQ5" s="361"/>
      <c r="BR5" s="361"/>
      <c r="BS5" s="361"/>
      <c r="BT5" s="361"/>
      <c r="BU5" s="361"/>
      <c r="BV5" s="361"/>
      <c r="BW5" s="361"/>
      <c r="BX5" s="361"/>
      <c r="BY5" s="361"/>
      <c r="BZ5" s="361"/>
      <c r="CA5" s="361"/>
      <c r="CB5" s="361"/>
      <c r="CC5" s="361"/>
      <c r="CD5" s="361"/>
      <c r="CE5" s="361"/>
      <c r="CF5" s="361"/>
      <c r="CG5" s="361"/>
      <c r="CH5" s="361"/>
      <c r="CI5" s="361"/>
      <c r="CJ5" s="361"/>
      <c r="CK5" s="361"/>
      <c r="CL5" s="361"/>
      <c r="CM5" s="361"/>
      <c r="CN5" s="361"/>
      <c r="CO5" s="361"/>
      <c r="CP5" s="361"/>
      <c r="CQ5" s="361"/>
      <c r="CR5" s="361"/>
      <c r="CS5" s="361"/>
      <c r="CT5" s="361"/>
      <c r="CU5" s="361"/>
      <c r="CV5" s="361"/>
      <c r="CW5" s="361"/>
      <c r="CX5" s="361"/>
      <c r="CY5" s="361"/>
      <c r="CZ5" s="361"/>
      <c r="DA5" s="361"/>
      <c r="DB5" s="361"/>
      <c r="DC5" s="361"/>
      <c r="DD5" s="361"/>
      <c r="DE5" s="361"/>
      <c r="DF5" s="361"/>
    </row>
    <row r="6" spans="1:110" ht="15" x14ac:dyDescent="0.25">
      <c r="A6" s="9"/>
      <c r="B6" s="149"/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91" t="str">
        <f>+'Lead Sheet '!AC4</f>
        <v>Anthony</v>
      </c>
      <c r="AD6" s="293"/>
      <c r="AE6" s="129"/>
      <c r="AF6" s="128"/>
      <c r="AG6" s="130"/>
      <c r="AH6" s="282"/>
      <c r="AI6" s="122"/>
      <c r="AJ6" s="104"/>
      <c r="AK6" s="102"/>
      <c r="AL6" s="282"/>
      <c r="AM6" s="122"/>
      <c r="AN6" s="104"/>
      <c r="AO6" s="92"/>
      <c r="AP6" s="104"/>
      <c r="AQ6" s="92"/>
      <c r="AR6" s="104"/>
      <c r="AS6" s="102"/>
      <c r="AT6" s="44"/>
      <c r="AU6" s="129"/>
      <c r="AV6" s="128"/>
      <c r="AW6" s="130"/>
      <c r="AX6" s="74"/>
      <c r="AY6" s="79"/>
      <c r="AZ6" s="77"/>
      <c r="BA6" s="81"/>
      <c r="BB6" s="77"/>
      <c r="BC6" s="81"/>
      <c r="BD6" s="77"/>
      <c r="BE6" s="81"/>
      <c r="BF6" s="77"/>
      <c r="BG6" s="82"/>
      <c r="BH6" s="13"/>
      <c r="BI6" s="13"/>
      <c r="BJ6" s="13"/>
      <c r="BK6" s="13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</row>
    <row r="7" spans="1:110" ht="15" x14ac:dyDescent="0.25">
      <c r="A7" s="61" t="s">
        <v>91</v>
      </c>
      <c r="B7" s="149"/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106" t="s">
        <v>210</v>
      </c>
      <c r="AJ7" s="282"/>
      <c r="AK7" s="107" t="s">
        <v>212</v>
      </c>
      <c r="AL7" s="282"/>
      <c r="AM7" s="106" t="s">
        <v>214</v>
      </c>
      <c r="AN7" s="282"/>
      <c r="AO7" s="95" t="s">
        <v>216</v>
      </c>
      <c r="AP7" s="282"/>
      <c r="AQ7" s="95" t="s">
        <v>218</v>
      </c>
      <c r="AR7" s="282"/>
      <c r="AS7" s="107" t="s">
        <v>220</v>
      </c>
      <c r="AT7" s="44"/>
      <c r="AU7" s="155"/>
      <c r="AV7" s="137"/>
      <c r="AW7" s="156"/>
      <c r="AX7" s="74"/>
      <c r="AY7" s="78" t="s">
        <v>24</v>
      </c>
      <c r="AZ7" s="76"/>
      <c r="BA7" s="83" t="s">
        <v>24</v>
      </c>
      <c r="BB7" s="76"/>
      <c r="BC7" s="83" t="s">
        <v>24</v>
      </c>
      <c r="BD7" s="76"/>
      <c r="BE7" s="83" t="s">
        <v>24</v>
      </c>
      <c r="BF7" s="76"/>
      <c r="BG7" s="84" t="s">
        <v>24</v>
      </c>
      <c r="BH7" s="13"/>
      <c r="BI7" s="13"/>
      <c r="BJ7" s="13"/>
      <c r="BK7" s="13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</row>
    <row r="8" spans="1:110" ht="14.25" x14ac:dyDescent="0.2">
      <c r="A8" s="61" t="s">
        <v>92</v>
      </c>
      <c r="B8" s="149"/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106" t="s">
        <v>211</v>
      </c>
      <c r="AJ8" s="282"/>
      <c r="AK8" s="107" t="s">
        <v>213</v>
      </c>
      <c r="AL8" s="282"/>
      <c r="AM8" s="106" t="s">
        <v>215</v>
      </c>
      <c r="AN8" s="282"/>
      <c r="AO8" s="95" t="s">
        <v>217</v>
      </c>
      <c r="AP8" s="282"/>
      <c r="AQ8" s="95" t="s">
        <v>219</v>
      </c>
      <c r="AR8" s="282"/>
      <c r="AS8" s="107" t="s">
        <v>221</v>
      </c>
      <c r="AT8" s="44"/>
      <c r="AU8" s="315" t="s">
        <v>106</v>
      </c>
      <c r="AV8" s="143"/>
      <c r="AW8" s="316" t="s">
        <v>107</v>
      </c>
      <c r="AX8" s="74"/>
      <c r="AY8" s="78" t="s">
        <v>83</v>
      </c>
      <c r="AZ8" s="76"/>
      <c r="BA8" s="83" t="s">
        <v>84</v>
      </c>
      <c r="BB8" s="76"/>
      <c r="BC8" s="83" t="s">
        <v>85</v>
      </c>
      <c r="BD8" s="76"/>
      <c r="BE8" s="83" t="s">
        <v>86</v>
      </c>
      <c r="BF8" s="76"/>
      <c r="BG8" s="84" t="s">
        <v>87</v>
      </c>
      <c r="BH8" s="13"/>
      <c r="BI8" s="13"/>
      <c r="BJ8" s="13"/>
      <c r="BK8" s="13"/>
      <c r="BL8" s="151"/>
      <c r="BM8" s="151"/>
      <c r="BN8" s="151"/>
      <c r="BO8" s="151"/>
      <c r="BP8" s="151"/>
      <c r="BQ8" s="151"/>
      <c r="BR8" s="151"/>
      <c r="BS8" s="151"/>
      <c r="BT8" s="151"/>
      <c r="BU8" s="151"/>
      <c r="BV8" s="151"/>
      <c r="BW8" s="151"/>
      <c r="BX8" s="151"/>
      <c r="BY8" s="151"/>
      <c r="BZ8" s="151"/>
      <c r="CA8" s="151"/>
      <c r="CB8" s="151"/>
      <c r="CC8" s="151"/>
      <c r="CD8" s="151"/>
      <c r="CE8" s="151"/>
      <c r="CF8" s="151"/>
      <c r="CG8" s="151"/>
      <c r="CH8" s="151"/>
      <c r="CI8" s="151"/>
      <c r="CJ8" s="151"/>
      <c r="CK8" s="151"/>
      <c r="CL8" s="151"/>
      <c r="CM8" s="151"/>
      <c r="CN8" s="151"/>
      <c r="CO8" s="151"/>
      <c r="CP8" s="151"/>
      <c r="CQ8" s="151"/>
      <c r="CR8" s="151"/>
      <c r="CS8" s="151"/>
      <c r="CT8" s="151"/>
      <c r="CU8" s="151"/>
      <c r="CV8" s="151"/>
      <c r="CW8" s="151"/>
      <c r="CX8" s="151"/>
      <c r="CY8" s="151"/>
      <c r="CZ8" s="151"/>
      <c r="DA8" s="151"/>
      <c r="DB8" s="151"/>
      <c r="DC8" s="151"/>
      <c r="DD8" s="151"/>
      <c r="DE8" s="151"/>
      <c r="DF8" s="151"/>
    </row>
    <row r="9" spans="1:110" ht="14.25" x14ac:dyDescent="0.2">
      <c r="A9" s="9"/>
      <c r="B9" s="149"/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90" t="str">
        <f>+'Lead Sheet '!AI7</f>
        <v>Republican</v>
      </c>
      <c r="AJ9" s="282"/>
      <c r="AK9" s="97" t="str">
        <f>+'Lead Sheet '!AK7</f>
        <v>Democratic</v>
      </c>
      <c r="AL9" s="282"/>
      <c r="AM9" s="106" t="s">
        <v>93</v>
      </c>
      <c r="AN9" s="95"/>
      <c r="AO9" s="95" t="s">
        <v>93</v>
      </c>
      <c r="AP9" s="95"/>
      <c r="AQ9" s="95" t="s">
        <v>99</v>
      </c>
      <c r="AR9" s="95"/>
      <c r="AS9" s="107" t="s">
        <v>222</v>
      </c>
      <c r="AT9" s="162"/>
      <c r="AU9" s="296"/>
      <c r="AV9" s="295"/>
      <c r="AW9" s="297"/>
      <c r="AX9" s="73"/>
      <c r="AY9" s="78" t="s">
        <v>89</v>
      </c>
      <c r="AZ9" s="76"/>
      <c r="BA9" s="83" t="s">
        <v>90</v>
      </c>
      <c r="BB9" s="76"/>
      <c r="BC9" s="83" t="s">
        <v>89</v>
      </c>
      <c r="BD9" s="76"/>
      <c r="BE9" s="83" t="s">
        <v>89</v>
      </c>
      <c r="BF9" s="76"/>
      <c r="BG9" s="84" t="s">
        <v>89</v>
      </c>
      <c r="BH9" s="13"/>
      <c r="BI9" s="13"/>
      <c r="BJ9" s="13"/>
      <c r="BK9" s="13"/>
      <c r="BL9" s="151"/>
      <c r="BM9" s="151"/>
      <c r="BN9" s="151"/>
      <c r="BO9" s="151"/>
      <c r="BP9" s="151"/>
      <c r="BQ9" s="151"/>
      <c r="BR9" s="151"/>
      <c r="BS9" s="151"/>
      <c r="BT9" s="151"/>
      <c r="BU9" s="151"/>
      <c r="BV9" s="151"/>
      <c r="BW9" s="151"/>
      <c r="BX9" s="151"/>
      <c r="BY9" s="151"/>
      <c r="BZ9" s="151"/>
      <c r="CA9" s="151"/>
      <c r="CB9" s="151"/>
      <c r="CC9" s="151"/>
      <c r="CD9" s="151"/>
      <c r="CE9" s="151"/>
      <c r="CF9" s="151"/>
      <c r="CG9" s="151"/>
      <c r="CH9" s="151"/>
      <c r="CI9" s="151"/>
      <c r="CJ9" s="151"/>
      <c r="CK9" s="151"/>
      <c r="CL9" s="151"/>
      <c r="CM9" s="151"/>
      <c r="CN9" s="151"/>
      <c r="CO9" s="151"/>
      <c r="CP9" s="151"/>
      <c r="CQ9" s="151"/>
      <c r="CR9" s="151"/>
      <c r="CS9" s="151"/>
      <c r="CT9" s="151"/>
      <c r="CU9" s="151"/>
      <c r="CV9" s="151"/>
      <c r="CW9" s="151"/>
      <c r="CX9" s="151"/>
      <c r="CY9" s="151"/>
      <c r="CZ9" s="151"/>
      <c r="DA9" s="151"/>
      <c r="DB9" s="151"/>
      <c r="DC9" s="151"/>
      <c r="DD9" s="151"/>
      <c r="DE9" s="151"/>
      <c r="DF9" s="151"/>
    </row>
    <row r="10" spans="1:110" ht="15" thickBot="1" x14ac:dyDescent="0.25">
      <c r="C10" s="98"/>
      <c r="D10" s="99"/>
      <c r="E10" s="99"/>
      <c r="F10" s="100"/>
      <c r="G10" s="99"/>
      <c r="H10" s="100"/>
      <c r="I10" s="99"/>
      <c r="J10" s="100"/>
      <c r="K10" s="99"/>
      <c r="L10" s="100"/>
      <c r="M10" s="99"/>
      <c r="N10" s="100"/>
      <c r="O10" s="99"/>
      <c r="P10" s="281"/>
      <c r="Q10" s="101"/>
      <c r="R10" s="95"/>
      <c r="S10" s="98"/>
      <c r="T10" s="100"/>
      <c r="U10" s="99"/>
      <c r="V10" s="100"/>
      <c r="W10" s="99"/>
      <c r="X10" s="100"/>
      <c r="Y10" s="99"/>
      <c r="Z10" s="100"/>
      <c r="AA10" s="99"/>
      <c r="AB10" s="100"/>
      <c r="AC10" s="101" t="str">
        <f>+'Lead Sheet '!AC8</f>
        <v>Bought</v>
      </c>
      <c r="AD10" s="95"/>
      <c r="AE10" s="98"/>
      <c r="AF10" s="281"/>
      <c r="AG10" s="101"/>
      <c r="AH10" s="19"/>
      <c r="AI10" s="355"/>
      <c r="AJ10" s="356"/>
      <c r="AK10" s="357"/>
      <c r="AL10" s="19"/>
      <c r="AM10" s="355"/>
      <c r="AN10" s="356"/>
      <c r="AO10" s="356"/>
      <c r="AP10" s="356"/>
      <c r="AQ10" s="356"/>
      <c r="AR10" s="356"/>
      <c r="AS10" s="357"/>
      <c r="AT10" s="19"/>
      <c r="AU10" s="337"/>
      <c r="AV10" s="330"/>
      <c r="AW10" s="346"/>
      <c r="AX10" s="19"/>
      <c r="AY10" s="80"/>
      <c r="AZ10" s="85"/>
      <c r="BA10" s="85"/>
      <c r="BB10" s="85"/>
      <c r="BC10" s="85"/>
      <c r="BD10" s="85"/>
      <c r="BE10" s="85"/>
      <c r="BF10" s="85"/>
      <c r="BG10" s="86"/>
    </row>
    <row r="11" spans="1:110" x14ac:dyDescent="0.2">
      <c r="A11" s="9" t="s">
        <v>49</v>
      </c>
      <c r="C11" s="16">
        <f>363+346</f>
        <v>709</v>
      </c>
      <c r="D11" s="19"/>
      <c r="E11" s="16">
        <f>157+181</f>
        <v>338</v>
      </c>
      <c r="F11" s="19"/>
      <c r="G11" s="16">
        <f>4+5</f>
        <v>9</v>
      </c>
      <c r="H11" s="19"/>
      <c r="I11" s="16">
        <v>2</v>
      </c>
      <c r="J11" s="19"/>
      <c r="K11" s="16">
        <f>2+2</f>
        <v>4</v>
      </c>
      <c r="L11" s="19"/>
      <c r="M11" s="16">
        <f>3+3</f>
        <v>6</v>
      </c>
      <c r="N11" s="19"/>
      <c r="O11" s="16">
        <f>3+1</f>
        <v>4</v>
      </c>
      <c r="P11" s="19"/>
      <c r="Q11" s="16">
        <v>0</v>
      </c>
      <c r="R11" s="19"/>
      <c r="S11" s="16">
        <f>321+300</f>
        <v>621</v>
      </c>
      <c r="T11" s="19"/>
      <c r="U11" s="16">
        <f>203+234</f>
        <v>437</v>
      </c>
      <c r="V11" s="19"/>
      <c r="W11" s="16">
        <f>1+1</f>
        <v>2</v>
      </c>
      <c r="X11" s="19"/>
      <c r="Y11" s="16">
        <v>0</v>
      </c>
      <c r="Z11" s="19"/>
      <c r="AA11" s="16">
        <f>3+2</f>
        <v>5</v>
      </c>
      <c r="AB11" s="19"/>
      <c r="AC11" s="16">
        <v>3</v>
      </c>
      <c r="AD11" s="19"/>
      <c r="AE11" s="16">
        <f>369+354</f>
        <v>723</v>
      </c>
      <c r="AF11" s="19"/>
      <c r="AG11" s="16">
        <f>155+170</f>
        <v>325</v>
      </c>
      <c r="AH11" s="19"/>
      <c r="AI11" s="18">
        <f>349+343</f>
        <v>692</v>
      </c>
      <c r="AJ11" s="19"/>
      <c r="AK11" s="18">
        <f>186+191</f>
        <v>377</v>
      </c>
      <c r="AL11" s="19"/>
      <c r="AM11" s="18">
        <f>378+373</f>
        <v>751</v>
      </c>
      <c r="AN11" s="19"/>
      <c r="AO11" s="18">
        <f>366+367</f>
        <v>733</v>
      </c>
      <c r="AP11" s="19"/>
      <c r="AQ11" s="18">
        <f>161+166</f>
        <v>327</v>
      </c>
      <c r="AR11" s="19"/>
      <c r="AS11" s="18">
        <f>161+160</f>
        <v>321</v>
      </c>
      <c r="AT11" s="19"/>
      <c r="AU11" s="18">
        <f>199+214</f>
        <v>413</v>
      </c>
      <c r="AV11" s="19"/>
      <c r="AW11" s="18">
        <f>268+251</f>
        <v>519</v>
      </c>
      <c r="AX11" s="19"/>
      <c r="AY11" s="55">
        <f>544+550</f>
        <v>1094</v>
      </c>
      <c r="AZ11" s="33"/>
      <c r="BA11" s="18">
        <f>161</f>
        <v>161</v>
      </c>
      <c r="BB11" s="33"/>
      <c r="BC11" s="18">
        <f>82</f>
        <v>82</v>
      </c>
      <c r="BD11" s="33"/>
      <c r="BE11" s="18"/>
      <c r="BG11" s="55">
        <f>+SUM(AY11:BE11)</f>
        <v>1337</v>
      </c>
    </row>
    <row r="12" spans="1:110" x14ac:dyDescent="0.2">
      <c r="A12" s="9" t="s">
        <v>50</v>
      </c>
      <c r="C12" s="16">
        <f>249+245</f>
        <v>494</v>
      </c>
      <c r="D12" s="19"/>
      <c r="E12" s="16">
        <f>127+129</f>
        <v>256</v>
      </c>
      <c r="F12" s="19"/>
      <c r="G12" s="16">
        <f>6+7</f>
        <v>13</v>
      </c>
      <c r="H12" s="19"/>
      <c r="I12" s="16">
        <v>4</v>
      </c>
      <c r="J12" s="19"/>
      <c r="K12" s="16">
        <f>1+3</f>
        <v>4</v>
      </c>
      <c r="L12" s="19"/>
      <c r="M12" s="16">
        <f>3+2</f>
        <v>5</v>
      </c>
      <c r="N12" s="19"/>
      <c r="O12" s="16">
        <v>0</v>
      </c>
      <c r="P12" s="19"/>
      <c r="Q12" s="16">
        <v>1</v>
      </c>
      <c r="R12" s="19"/>
      <c r="S12" s="16">
        <f>216+221</f>
        <v>437</v>
      </c>
      <c r="T12" s="19"/>
      <c r="U12" s="16">
        <f>169+161</f>
        <v>330</v>
      </c>
      <c r="V12" s="19"/>
      <c r="W12" s="16">
        <v>1</v>
      </c>
      <c r="X12" s="19"/>
      <c r="Y12" s="16">
        <v>1</v>
      </c>
      <c r="Z12" s="19"/>
      <c r="AA12" s="16">
        <v>2</v>
      </c>
      <c r="AB12" s="19"/>
      <c r="AC12" s="16">
        <v>0</v>
      </c>
      <c r="AD12" s="19"/>
      <c r="AE12" s="16">
        <f>251+258</f>
        <v>509</v>
      </c>
      <c r="AF12" s="19"/>
      <c r="AG12" s="16">
        <f>133+126</f>
        <v>259</v>
      </c>
      <c r="AH12" s="19"/>
      <c r="AI12" s="16">
        <f>217+218</f>
        <v>435</v>
      </c>
      <c r="AJ12" s="19"/>
      <c r="AK12" s="16">
        <f>174+175</f>
        <v>349</v>
      </c>
      <c r="AL12" s="19"/>
      <c r="AM12" s="16">
        <f>239+231</f>
        <v>470</v>
      </c>
      <c r="AN12" s="19"/>
      <c r="AO12" s="16">
        <f>235+227</f>
        <v>462</v>
      </c>
      <c r="AP12" s="19"/>
      <c r="AQ12" s="16">
        <f>160+159</f>
        <v>319</v>
      </c>
      <c r="AR12" s="19"/>
      <c r="AS12" s="16">
        <f>147+151</f>
        <v>298</v>
      </c>
      <c r="AT12" s="19"/>
      <c r="AU12" s="16">
        <f>145+142</f>
        <v>287</v>
      </c>
      <c r="AV12" s="19"/>
      <c r="AW12" s="16">
        <f>176+186</f>
        <v>362</v>
      </c>
      <c r="AX12" s="19"/>
      <c r="AY12" s="16">
        <f>397+396</f>
        <v>793</v>
      </c>
      <c r="AZ12" s="33"/>
      <c r="BA12" s="16">
        <f>99</f>
        <v>99</v>
      </c>
      <c r="BB12" s="33"/>
      <c r="BC12" s="16">
        <v>0</v>
      </c>
      <c r="BD12" s="33"/>
      <c r="BE12" s="16"/>
      <c r="BG12" s="55">
        <f>+SUM(AY12:BE12)</f>
        <v>892</v>
      </c>
    </row>
    <row r="13" spans="1:110" x14ac:dyDescent="0.2">
      <c r="A13" s="9" t="s">
        <v>51</v>
      </c>
      <c r="C13" s="16">
        <f>233+283</f>
        <v>516</v>
      </c>
      <c r="D13" s="19"/>
      <c r="E13" s="16">
        <f>144+145</f>
        <v>289</v>
      </c>
      <c r="F13" s="19"/>
      <c r="G13" s="16">
        <f>2+5</f>
        <v>7</v>
      </c>
      <c r="H13" s="19"/>
      <c r="I13" s="16">
        <v>1</v>
      </c>
      <c r="J13" s="19"/>
      <c r="K13" s="16">
        <f>1+2</f>
        <v>3</v>
      </c>
      <c r="L13" s="19"/>
      <c r="M13" s="16">
        <f>4+3</f>
        <v>7</v>
      </c>
      <c r="N13" s="19"/>
      <c r="O13" s="16">
        <f>1+1</f>
        <v>2</v>
      </c>
      <c r="P13" s="19"/>
      <c r="Q13" s="16">
        <v>0</v>
      </c>
      <c r="R13" s="19"/>
      <c r="S13" s="16">
        <f>210+245</f>
        <v>455</v>
      </c>
      <c r="T13" s="19"/>
      <c r="U13" s="16">
        <f>173+193</f>
        <v>366</v>
      </c>
      <c r="V13" s="19"/>
      <c r="W13" s="16">
        <v>1</v>
      </c>
      <c r="X13" s="19"/>
      <c r="Y13" s="16">
        <v>1</v>
      </c>
      <c r="Z13" s="19"/>
      <c r="AA13" s="16">
        <v>1</v>
      </c>
      <c r="AB13" s="19"/>
      <c r="AC13" s="16">
        <f>2+1</f>
        <v>3</v>
      </c>
      <c r="AD13" s="19"/>
      <c r="AE13" s="16">
        <f>236+278</f>
        <v>514</v>
      </c>
      <c r="AF13" s="19"/>
      <c r="AG13" s="16">
        <f>144+154</f>
        <v>298</v>
      </c>
      <c r="AH13" s="19"/>
      <c r="AI13" s="16">
        <f>202+227</f>
        <v>429</v>
      </c>
      <c r="AJ13" s="19"/>
      <c r="AK13" s="16">
        <f>188+213</f>
        <v>401</v>
      </c>
      <c r="AL13" s="19"/>
      <c r="AM13" s="16">
        <f>211+232</f>
        <v>443</v>
      </c>
      <c r="AN13" s="19"/>
      <c r="AO13" s="16">
        <f>208+227</f>
        <v>435</v>
      </c>
      <c r="AP13" s="19"/>
      <c r="AQ13" s="16">
        <f>175+205</f>
        <v>380</v>
      </c>
      <c r="AR13" s="19"/>
      <c r="AS13" s="16">
        <f>174+203</f>
        <v>377</v>
      </c>
      <c r="AT13" s="19"/>
      <c r="AU13" s="16">
        <f>137+163</f>
        <v>300</v>
      </c>
      <c r="AV13" s="19"/>
      <c r="AW13" s="16">
        <f>196+208</f>
        <v>404</v>
      </c>
      <c r="AX13" s="19"/>
      <c r="AY13" s="16">
        <f>396+449</f>
        <v>845</v>
      </c>
      <c r="AZ13" s="33"/>
      <c r="BA13" s="16">
        <f>125</f>
        <v>125</v>
      </c>
      <c r="BB13" s="33"/>
      <c r="BC13" s="16">
        <v>0</v>
      </c>
      <c r="BD13" s="33"/>
      <c r="BE13" s="16"/>
      <c r="BG13" s="55">
        <f>+SUM(AY13:BE13)</f>
        <v>970</v>
      </c>
    </row>
    <row r="14" spans="1:110" x14ac:dyDescent="0.2">
      <c r="A14" s="9" t="s">
        <v>52</v>
      </c>
      <c r="C14" s="16">
        <f>209+207</f>
        <v>416</v>
      </c>
      <c r="D14" s="19"/>
      <c r="E14" s="16">
        <f>144+146</f>
        <v>290</v>
      </c>
      <c r="F14" s="19"/>
      <c r="G14" s="16">
        <f>4+8</f>
        <v>12</v>
      </c>
      <c r="H14" s="19"/>
      <c r="I14" s="16">
        <v>3</v>
      </c>
      <c r="J14" s="19"/>
      <c r="K14" s="16">
        <f>2+2</f>
        <v>4</v>
      </c>
      <c r="L14" s="19"/>
      <c r="M14" s="16">
        <f>8+1</f>
        <v>9</v>
      </c>
      <c r="N14" s="19"/>
      <c r="O14" s="16">
        <v>1</v>
      </c>
      <c r="P14" s="19"/>
      <c r="Q14" s="16">
        <v>1</v>
      </c>
      <c r="R14" s="19"/>
      <c r="S14" s="16">
        <f>184+188</f>
        <v>372</v>
      </c>
      <c r="T14" s="19"/>
      <c r="U14" s="16">
        <f>173+174</f>
        <v>347</v>
      </c>
      <c r="V14" s="19"/>
      <c r="W14" s="16">
        <f>2+3</f>
        <v>5</v>
      </c>
      <c r="X14" s="19"/>
      <c r="Y14" s="16">
        <v>1</v>
      </c>
      <c r="Z14" s="19"/>
      <c r="AA14" s="16">
        <f>1+1</f>
        <v>2</v>
      </c>
      <c r="AB14" s="19"/>
      <c r="AC14" s="16">
        <f>1+1</f>
        <v>2</v>
      </c>
      <c r="AD14" s="19"/>
      <c r="AE14" s="16">
        <f>214+205</f>
        <v>419</v>
      </c>
      <c r="AF14" s="19"/>
      <c r="AG14" s="16">
        <f>149+157</f>
        <v>306</v>
      </c>
      <c r="AH14" s="19"/>
      <c r="AI14" s="16">
        <f>181+175</f>
        <v>356</v>
      </c>
      <c r="AJ14" s="19"/>
      <c r="AK14" s="16">
        <f>191+200</f>
        <v>391</v>
      </c>
      <c r="AL14" s="19"/>
      <c r="AM14" s="16">
        <f>190+191</f>
        <v>381</v>
      </c>
      <c r="AN14" s="19"/>
      <c r="AO14" s="16">
        <f>180+181</f>
        <v>361</v>
      </c>
      <c r="AP14" s="67"/>
      <c r="AQ14" s="16">
        <f>180+179</f>
        <v>359</v>
      </c>
      <c r="AR14" s="67"/>
      <c r="AS14" s="16">
        <f>166+174</f>
        <v>340</v>
      </c>
      <c r="AT14" s="19"/>
      <c r="AU14" s="16">
        <f>153+150</f>
        <v>303</v>
      </c>
      <c r="AV14" s="19"/>
      <c r="AW14" s="16">
        <f>149+162</f>
        <v>311</v>
      </c>
      <c r="AX14" s="19"/>
      <c r="AY14" s="16">
        <f>379+378</f>
        <v>757</v>
      </c>
      <c r="AZ14" s="33"/>
      <c r="BA14" s="16">
        <f>136</f>
        <v>136</v>
      </c>
      <c r="BB14" s="33"/>
      <c r="BC14" s="16">
        <v>0</v>
      </c>
      <c r="BD14" s="33"/>
      <c r="BE14" s="16"/>
      <c r="BG14" s="55">
        <f>+SUM(AY14:BE14)</f>
        <v>893</v>
      </c>
    </row>
    <row r="15" spans="1:110" ht="13.5" thickBot="1" x14ac:dyDescent="0.25">
      <c r="A15" s="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33"/>
      <c r="BA15" s="19"/>
      <c r="BB15" s="33"/>
      <c r="BC15" s="19"/>
      <c r="BD15" s="33"/>
      <c r="BE15" s="19"/>
      <c r="BG15" s="57"/>
    </row>
    <row r="16" spans="1:110" s="47" customFormat="1" ht="13.5" thickBot="1" x14ac:dyDescent="0.25">
      <c r="A16" s="3" t="s">
        <v>24</v>
      </c>
      <c r="C16" s="41">
        <f>+SUM(C10:C14)</f>
        <v>2135</v>
      </c>
      <c r="D16" s="57"/>
      <c r="E16" s="41">
        <f>+SUM(E10:E14)</f>
        <v>1173</v>
      </c>
      <c r="F16" s="57"/>
      <c r="G16" s="41">
        <f>+SUM(G10:G14)</f>
        <v>41</v>
      </c>
      <c r="H16" s="57"/>
      <c r="I16" s="41">
        <f>+SUM(I10:I14)</f>
        <v>10</v>
      </c>
      <c r="J16" s="57"/>
      <c r="K16" s="41">
        <f>+SUM(K10:K14)</f>
        <v>15</v>
      </c>
      <c r="L16" s="57"/>
      <c r="M16" s="41">
        <f>+SUM(M10:M14)</f>
        <v>27</v>
      </c>
      <c r="N16" s="57"/>
      <c r="O16" s="41">
        <f>+SUM(O10:O14)</f>
        <v>7</v>
      </c>
      <c r="P16" s="57"/>
      <c r="Q16" s="41">
        <f>+SUM(Q10:Q14)</f>
        <v>2</v>
      </c>
      <c r="R16" s="57"/>
      <c r="S16" s="41">
        <f>+SUM(S10:S14)</f>
        <v>1885</v>
      </c>
      <c r="T16" s="57"/>
      <c r="U16" s="41">
        <f>+SUM(U10:U14)</f>
        <v>1480</v>
      </c>
      <c r="V16" s="57"/>
      <c r="W16" s="41">
        <f>+SUM(W10:W14)</f>
        <v>9</v>
      </c>
      <c r="X16" s="57"/>
      <c r="Y16" s="41">
        <f>+SUM(Y10:Y14)</f>
        <v>3</v>
      </c>
      <c r="Z16" s="57"/>
      <c r="AA16" s="41">
        <f>+SUM(AA10:AA14)</f>
        <v>10</v>
      </c>
      <c r="AB16" s="57"/>
      <c r="AC16" s="41">
        <f>+SUM(AC10:AC14)</f>
        <v>8</v>
      </c>
      <c r="AD16" s="57"/>
      <c r="AE16" s="41">
        <f>+SUM(AE10:AE14)</f>
        <v>2165</v>
      </c>
      <c r="AF16" s="57"/>
      <c r="AG16" s="41">
        <f>+SUM(AG10:AG14)</f>
        <v>1188</v>
      </c>
      <c r="AH16" s="57"/>
      <c r="AI16" s="41">
        <f>+SUM(AI10:AI14)</f>
        <v>1912</v>
      </c>
      <c r="AJ16" s="57"/>
      <c r="AK16" s="41">
        <f>+SUM(AK10:AK14)</f>
        <v>1518</v>
      </c>
      <c r="AL16" s="57"/>
      <c r="AM16" s="41">
        <f>+SUM(AM10:AM14)</f>
        <v>2045</v>
      </c>
      <c r="AN16" s="57"/>
      <c r="AO16" s="41">
        <f>+SUM(AO10:AO14)</f>
        <v>1991</v>
      </c>
      <c r="AP16" s="57"/>
      <c r="AQ16" s="41">
        <f>+SUM(AQ10:AQ14)</f>
        <v>1385</v>
      </c>
      <c r="AR16" s="57"/>
      <c r="AS16" s="41">
        <f>+SUM(AS10:AS14)</f>
        <v>1336</v>
      </c>
      <c r="AT16" s="57"/>
      <c r="AU16" s="41">
        <f>+SUM(AU10:AU14)</f>
        <v>1303</v>
      </c>
      <c r="AV16" s="57"/>
      <c r="AW16" s="41">
        <f>+SUM(AW10:AW14)</f>
        <v>1596</v>
      </c>
      <c r="AX16" s="57"/>
      <c r="AY16" s="41">
        <f>+SUM(AY11:AY14)</f>
        <v>3489</v>
      </c>
      <c r="AZ16" s="43"/>
      <c r="BA16" s="41">
        <f>+SUM(BA11:BA14)</f>
        <v>521</v>
      </c>
      <c r="BB16" s="43"/>
      <c r="BC16" s="41">
        <f>+SUM(BC11:BC14)</f>
        <v>82</v>
      </c>
      <c r="BD16" s="43"/>
      <c r="BE16" s="41">
        <f>+SUM(BE11:BE14)</f>
        <v>0</v>
      </c>
      <c r="BF16" s="40"/>
      <c r="BG16" s="41">
        <f>+SUM(BG11:BG14)</f>
        <v>4092</v>
      </c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</row>
    <row r="17" spans="1:110" x14ac:dyDescent="0.2">
      <c r="A17" s="36" t="s">
        <v>73</v>
      </c>
      <c r="C17" s="19">
        <f>109+55+61+84</f>
        <v>309</v>
      </c>
      <c r="D17" s="19"/>
      <c r="E17" s="19">
        <f>49+39+56+46</f>
        <v>190</v>
      </c>
      <c r="F17" s="19"/>
      <c r="G17" s="19">
        <f>1+2+3</f>
        <v>6</v>
      </c>
      <c r="H17" s="19"/>
      <c r="I17" s="19">
        <v>0</v>
      </c>
      <c r="J17" s="19"/>
      <c r="K17" s="19">
        <f>1+1</f>
        <v>2</v>
      </c>
      <c r="L17" s="19"/>
      <c r="M17" s="19">
        <f>1+1+3</f>
        <v>5</v>
      </c>
      <c r="N17" s="19"/>
      <c r="O17" s="19">
        <v>0</v>
      </c>
      <c r="P17" s="19"/>
      <c r="Q17" s="19">
        <v>0</v>
      </c>
      <c r="R17" s="19"/>
      <c r="S17" s="19">
        <f>91+46+53+68</f>
        <v>258</v>
      </c>
      <c r="T17" s="19"/>
      <c r="U17" s="19">
        <f>65+48+70+59</f>
        <v>242</v>
      </c>
      <c r="V17" s="19"/>
      <c r="W17" s="19">
        <v>1</v>
      </c>
      <c r="X17" s="19"/>
      <c r="Y17" s="19">
        <f>1</f>
        <v>1</v>
      </c>
      <c r="Z17" s="19"/>
      <c r="AA17" s="19">
        <v>0</v>
      </c>
      <c r="AB17" s="19"/>
      <c r="AC17" s="19">
        <v>0</v>
      </c>
      <c r="AD17" s="19"/>
      <c r="AE17" s="19">
        <f>108+56+58+80</f>
        <v>302</v>
      </c>
      <c r="AF17" s="19"/>
      <c r="AG17" s="19">
        <f>47+37+66+51</f>
        <v>201</v>
      </c>
      <c r="AH17" s="19"/>
      <c r="AI17" s="19">
        <f>98+42+51+58</f>
        <v>249</v>
      </c>
      <c r="AJ17" s="19"/>
      <c r="AK17" s="19">
        <f>60+56+74+77</f>
        <v>267</v>
      </c>
      <c r="AL17" s="19"/>
      <c r="AM17" s="19">
        <f>102+49+52+68</f>
        <v>271</v>
      </c>
      <c r="AN17" s="19"/>
      <c r="AO17" s="19">
        <f>100+48+50+71</f>
        <v>269</v>
      </c>
      <c r="AP17" s="19"/>
      <c r="AQ17" s="19">
        <f>57+50+74+66</f>
        <v>247</v>
      </c>
      <c r="AR17" s="19"/>
      <c r="AS17" s="19">
        <f>56+47+72+63</f>
        <v>238</v>
      </c>
      <c r="AT17" s="19" t="s">
        <v>108</v>
      </c>
      <c r="AU17" s="19">
        <f>80+43+75+59</f>
        <v>257</v>
      </c>
      <c r="AV17" s="19"/>
      <c r="AW17" s="19">
        <f>70+51+43+64</f>
        <v>228</v>
      </c>
      <c r="AX17" s="19"/>
      <c r="AY17" s="19"/>
    </row>
    <row r="18" spans="1:110" x14ac:dyDescent="0.2">
      <c r="A18" s="4" t="s">
        <v>25</v>
      </c>
      <c r="C18" s="19">
        <f>50</f>
        <v>50</v>
      </c>
      <c r="D18" s="19"/>
      <c r="E18" s="19">
        <v>27</v>
      </c>
      <c r="F18" s="19"/>
      <c r="G18" s="19">
        <f>2</f>
        <v>2</v>
      </c>
      <c r="H18" s="19"/>
      <c r="I18" s="19">
        <v>0</v>
      </c>
      <c r="J18" s="19"/>
      <c r="K18" s="19">
        <v>0</v>
      </c>
      <c r="L18" s="19"/>
      <c r="M18" s="19">
        <v>0</v>
      </c>
      <c r="N18" s="19"/>
      <c r="O18" s="19">
        <f>1</f>
        <v>1</v>
      </c>
      <c r="P18" s="19"/>
      <c r="Q18" s="19">
        <v>0</v>
      </c>
      <c r="R18" s="19"/>
      <c r="S18" s="19">
        <f>43</f>
        <v>43</v>
      </c>
      <c r="T18" s="19"/>
      <c r="U18" s="19">
        <f>36</f>
        <v>36</v>
      </c>
      <c r="V18" s="19"/>
      <c r="W18" s="19">
        <v>0</v>
      </c>
      <c r="X18" s="19"/>
      <c r="Y18" s="19">
        <v>0</v>
      </c>
      <c r="Z18" s="19"/>
      <c r="AA18" s="19">
        <f>1</f>
        <v>1</v>
      </c>
      <c r="AB18" s="19"/>
      <c r="AC18" s="19">
        <v>0</v>
      </c>
      <c r="AD18" s="19"/>
      <c r="AE18" s="19">
        <f>54</f>
        <v>54</v>
      </c>
      <c r="AF18" s="19"/>
      <c r="AG18" s="19">
        <f>27</f>
        <v>27</v>
      </c>
      <c r="AH18" s="19"/>
      <c r="AI18" s="19">
        <f>46</f>
        <v>46</v>
      </c>
      <c r="AJ18" s="19"/>
      <c r="AK18" s="19">
        <f>34</f>
        <v>34</v>
      </c>
      <c r="AL18" s="19"/>
      <c r="AM18" s="19">
        <f>51</f>
        <v>51</v>
      </c>
      <c r="AN18" s="19"/>
      <c r="AO18" s="19">
        <f>49</f>
        <v>49</v>
      </c>
      <c r="AP18" s="19"/>
      <c r="AQ18" s="19">
        <f>30</f>
        <v>30</v>
      </c>
      <c r="AR18" s="19"/>
      <c r="AS18" s="19">
        <f>27</f>
        <v>27</v>
      </c>
      <c r="AT18" s="19"/>
      <c r="AU18" s="19">
        <f>42</f>
        <v>42</v>
      </c>
      <c r="AV18" s="19"/>
      <c r="AW18" s="19">
        <f>29</f>
        <v>29</v>
      </c>
      <c r="AX18" s="19"/>
      <c r="AY18" s="19"/>
    </row>
    <row r="19" spans="1:110" ht="13.5" thickBot="1" x14ac:dyDescent="0.25">
      <c r="A19" s="4" t="s">
        <v>79</v>
      </c>
      <c r="C19" s="19">
        <v>0</v>
      </c>
      <c r="D19" s="19"/>
      <c r="E19" s="19">
        <v>1</v>
      </c>
      <c r="F19" s="19"/>
      <c r="G19" s="19">
        <v>0</v>
      </c>
      <c r="H19" s="19"/>
      <c r="I19" s="19">
        <v>0</v>
      </c>
      <c r="J19" s="19"/>
      <c r="K19" s="19">
        <v>0</v>
      </c>
      <c r="L19" s="19"/>
      <c r="M19" s="19">
        <v>0</v>
      </c>
      <c r="N19" s="19"/>
      <c r="O19" s="19">
        <v>0</v>
      </c>
      <c r="P19" s="19"/>
      <c r="Q19" s="19">
        <v>0</v>
      </c>
      <c r="R19" s="19"/>
      <c r="S19" s="19">
        <v>0</v>
      </c>
      <c r="T19" s="19"/>
      <c r="U19" s="19">
        <v>1</v>
      </c>
      <c r="V19" s="19"/>
      <c r="W19" s="19">
        <v>0</v>
      </c>
      <c r="X19" s="19"/>
      <c r="Y19" s="19">
        <v>0</v>
      </c>
      <c r="Z19" s="19"/>
      <c r="AA19" s="19">
        <v>0</v>
      </c>
      <c r="AB19" s="19"/>
      <c r="AC19" s="19">
        <v>0</v>
      </c>
      <c r="AD19" s="19"/>
      <c r="AE19" s="19">
        <v>0</v>
      </c>
      <c r="AF19" s="19"/>
      <c r="AG19" s="19">
        <v>1</v>
      </c>
      <c r="AH19" s="19"/>
      <c r="AI19" s="19">
        <v>0</v>
      </c>
      <c r="AJ19" s="19"/>
      <c r="AK19" s="19">
        <v>0</v>
      </c>
      <c r="AL19" s="19"/>
      <c r="AM19" s="19">
        <v>0</v>
      </c>
      <c r="AN19" s="19"/>
      <c r="AO19" s="19">
        <v>0</v>
      </c>
      <c r="AP19" s="19"/>
      <c r="AQ19" s="19">
        <v>0</v>
      </c>
      <c r="AR19" s="19"/>
      <c r="AS19" s="19">
        <v>0</v>
      </c>
      <c r="AT19" s="19"/>
      <c r="AU19" s="19">
        <v>1</v>
      </c>
      <c r="AV19" s="19"/>
      <c r="AW19" s="19">
        <v>0</v>
      </c>
      <c r="AX19" s="19"/>
      <c r="AY19" s="19"/>
    </row>
    <row r="20" spans="1:110" s="47" customFormat="1" ht="13.5" thickBot="1" x14ac:dyDescent="0.25">
      <c r="A20" s="3" t="s">
        <v>26</v>
      </c>
      <c r="C20" s="41">
        <f>+SUM(C16:C19)</f>
        <v>2494</v>
      </c>
      <c r="D20" s="57"/>
      <c r="E20" s="41">
        <f>+SUM(E16:E19)</f>
        <v>1391</v>
      </c>
      <c r="F20" s="57"/>
      <c r="G20" s="41">
        <f>+SUM(G16:G19)</f>
        <v>49</v>
      </c>
      <c r="H20" s="57"/>
      <c r="I20" s="41">
        <f>+SUM(I16:I19)</f>
        <v>10</v>
      </c>
      <c r="J20" s="57"/>
      <c r="K20" s="41">
        <f>+SUM(K16:K19)</f>
        <v>17</v>
      </c>
      <c r="L20" s="57"/>
      <c r="M20" s="41">
        <f>+SUM(M16:M19)</f>
        <v>32</v>
      </c>
      <c r="N20" s="57"/>
      <c r="O20" s="41">
        <f>+SUM(O16:O19)</f>
        <v>8</v>
      </c>
      <c r="P20" s="57"/>
      <c r="Q20" s="41">
        <f>+SUM(Q16:Q19)</f>
        <v>2</v>
      </c>
      <c r="R20" s="57"/>
      <c r="S20" s="41">
        <f>+SUM(S16:S19)</f>
        <v>2186</v>
      </c>
      <c r="T20" s="57"/>
      <c r="U20" s="41">
        <f>+SUM(U16:U19)</f>
        <v>1759</v>
      </c>
      <c r="V20" s="57"/>
      <c r="W20" s="41">
        <f>+SUM(W16:W19)</f>
        <v>10</v>
      </c>
      <c r="X20" s="57"/>
      <c r="Y20" s="41">
        <f>+SUM(Y16:Y19)</f>
        <v>4</v>
      </c>
      <c r="Z20" s="57"/>
      <c r="AA20" s="41">
        <f>+SUM(AA16:AA19)</f>
        <v>11</v>
      </c>
      <c r="AB20" s="57"/>
      <c r="AC20" s="41">
        <f>+SUM(AC16:AC19)</f>
        <v>8</v>
      </c>
      <c r="AD20" s="57"/>
      <c r="AE20" s="41">
        <f>+SUM(AE16:AE19)</f>
        <v>2521</v>
      </c>
      <c r="AF20" s="57"/>
      <c r="AG20" s="41">
        <f>+SUM(AG16:AG19)</f>
        <v>1417</v>
      </c>
      <c r="AH20" s="57"/>
      <c r="AI20" s="41">
        <f>+SUM(AI16:AI19)</f>
        <v>2207</v>
      </c>
      <c r="AJ20" s="57"/>
      <c r="AK20" s="41">
        <f>+SUM(AK16:AK19)</f>
        <v>1819</v>
      </c>
      <c r="AL20" s="57"/>
      <c r="AM20" s="41">
        <f>+SUM(AM16:AM19)</f>
        <v>2367</v>
      </c>
      <c r="AN20" s="57"/>
      <c r="AO20" s="41">
        <f>+SUM(AO16:AO19)</f>
        <v>2309</v>
      </c>
      <c r="AP20" s="57"/>
      <c r="AQ20" s="41">
        <f>+SUM(AQ16:AQ19)</f>
        <v>1662</v>
      </c>
      <c r="AR20" s="57"/>
      <c r="AS20" s="41">
        <f>+SUM(AS16:AS19)</f>
        <v>1601</v>
      </c>
      <c r="AT20" s="57"/>
      <c r="AU20" s="41">
        <f>+SUM(AU16:AU19)</f>
        <v>1603</v>
      </c>
      <c r="AV20" s="57"/>
      <c r="AW20" s="41">
        <f>+SUM(AW16:AW19)</f>
        <v>1853</v>
      </c>
      <c r="AX20" s="57"/>
      <c r="AY20" s="42"/>
      <c r="AZ20" s="40"/>
      <c r="BA20" s="40"/>
      <c r="BB20" s="40"/>
      <c r="BC20" s="40"/>
      <c r="BD20" s="40"/>
      <c r="BE20" s="40"/>
      <c r="BF20" s="40"/>
      <c r="BG20" s="40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</row>
    <row r="21" spans="1:110" x14ac:dyDescent="0.2">
      <c r="A21" s="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</row>
    <row r="22" spans="1:110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</row>
    <row r="23" spans="1:110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</row>
    <row r="24" spans="1:110" x14ac:dyDescent="0.2"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</row>
    <row r="25" spans="1:110" x14ac:dyDescent="0.2"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</row>
    <row r="26" spans="1:110" x14ac:dyDescent="0.2">
      <c r="A26" s="185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</row>
    <row r="27" spans="1:110" x14ac:dyDescent="0.2"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</row>
    <row r="28" spans="1:110" x14ac:dyDescent="0.2"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</row>
  </sheetData>
  <customSheetViews>
    <customSheetView guid="{E44E71C3-F2DB-4787-90CC-B0F1BDA00262}" scale="75" showPageBreaks="1" printArea="1" view="pageBreakPreview">
      <pane xSplit="1" ySplit="2" topLeftCell="T3" activePane="bottomRight" state="frozen"/>
      <selection pane="bottomRight" activeCell="BC12" sqref="BC12"/>
      <colBreaks count="2" manualBreakCount="2">
        <brk id="54" max="1048575" man="1"/>
        <brk id="83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&amp;C&amp;"Arial,Bold"&amp;11City of Brigantine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B6" activePane="bottomRight" state="frozen"/>
      <selection pane="bottomRight" activeCell="AG1" sqref="AG1:AG1048576"/>
      <colBreaks count="2" manualBreakCount="2">
        <brk id="54" max="1048575" man="1"/>
        <brk id="83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&amp;C&amp;"Arial,Bold"&amp;11City of Brigantine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B6" activePane="bottomRight" state="frozen"/>
      <selection pane="bottomRight" activeCell="AA14" sqref="AA14"/>
      <colBreaks count="2" manualBreakCount="2">
        <brk id="26" max="1048575" man="1"/>
        <brk id="55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&amp;C&amp;"Arial,Bold"&amp;11City of Brigantine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B6" activePane="bottomRight" state="frozen"/>
      <selection pane="bottomRight" activeCell="AA14" sqref="AA14"/>
      <colBreaks count="2" manualBreakCount="2">
        <brk id="26" max="1048575" man="1"/>
        <brk id="55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&amp;C&amp;"Arial,Bold"&amp;11City of Brigantine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B6" activePane="bottomRight" state="frozen"/>
      <selection pane="bottomRight" activeCell="AG1" sqref="AG1:AG1048576"/>
      <colBreaks count="2" manualBreakCount="2">
        <brk id="54" max="1048575" man="1"/>
        <brk id="83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&amp;C&amp;"Arial,Bold"&amp;11City of Brigantine
General Election - November 3, 2015
Prepared by the Office of Edward P. McGettigan, Atlantic County Clerk</oddHeader>
        <oddFooter>&amp;R&amp;11Page &amp;P</oddFooter>
      </headerFooter>
    </customSheetView>
  </customSheetViews>
  <mergeCells count="6">
    <mergeCell ref="AU5:AW5"/>
    <mergeCell ref="C5:Q5"/>
    <mergeCell ref="S5:AC5"/>
    <mergeCell ref="AE5:AG5"/>
    <mergeCell ref="AI5:AK5"/>
    <mergeCell ref="AM5:AS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&amp;C&amp;"Arial,Bold"&amp;11City of Brigantine
General Election - November 6, 2018
Prepared by the Office of Edward P. McGettigan, Atlantic County Clerk</oddHeader>
    <oddFooter>&amp;R&amp;11Page &amp;P</oddFooter>
  </headerFooter>
  <colBreaks count="2" manualBreakCount="2">
    <brk id="29" max="19" man="1"/>
    <brk id="79" max="1048575" man="1"/>
  </colBreaks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D30"/>
  <sheetViews>
    <sheetView zoomScale="75" zoomScaleNormal="75" zoomScaleSheetLayoutView="75" workbookViewId="0">
      <pane xSplit="1" ySplit="10" topLeftCell="V11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61" customWidth="1"/>
    <col min="2" max="2" width="1.7109375" style="37" customWidth="1"/>
    <col min="3" max="3" width="12.140625" style="63" customWidth="1"/>
    <col min="4" max="4" width="1.7109375" style="63" customWidth="1"/>
    <col min="5" max="5" width="10.42578125" style="63" customWidth="1"/>
    <col min="6" max="6" width="1.7109375" style="63" customWidth="1"/>
    <col min="7" max="7" width="15.85546875" style="63" customWidth="1"/>
    <col min="8" max="8" width="1.7109375" style="63" customWidth="1"/>
    <col min="9" max="9" width="12.140625" style="63" customWidth="1"/>
    <col min="10" max="10" width="1.7109375" style="63" customWidth="1"/>
    <col min="11" max="11" width="15.85546875" style="63" customWidth="1"/>
    <col min="12" max="12" width="1.7109375" style="63" customWidth="1"/>
    <col min="13" max="13" width="12.140625" style="63" customWidth="1"/>
    <col min="14" max="14" width="1.7109375" style="63" customWidth="1"/>
    <col min="15" max="15" width="12.140625" style="63" customWidth="1"/>
    <col min="16" max="16" width="1.7109375" style="63" customWidth="1"/>
    <col min="17" max="17" width="14.140625" style="63" customWidth="1"/>
    <col min="18" max="18" width="1.7109375" style="63" customWidth="1"/>
    <col min="19" max="19" width="13.140625" style="63" customWidth="1"/>
    <col min="20" max="20" width="1.7109375" style="63" customWidth="1"/>
    <col min="21" max="21" width="12.140625" style="63" customWidth="1"/>
    <col min="22" max="22" width="1.7109375" style="63" customWidth="1"/>
    <col min="23" max="23" width="12.140625" style="63" customWidth="1"/>
    <col min="24" max="24" width="1.7109375" style="63" customWidth="1"/>
    <col min="25" max="25" width="12.140625" style="63" customWidth="1"/>
    <col min="26" max="26" width="1.7109375" style="63" customWidth="1"/>
    <col min="27" max="27" width="11.42578125" style="63" customWidth="1"/>
    <col min="28" max="28" width="1.7109375" style="63" customWidth="1"/>
    <col min="29" max="29" width="11.85546875" style="63" customWidth="1"/>
    <col min="30" max="30" width="1.7109375" style="63" customWidth="1"/>
    <col min="31" max="31" width="12.140625" style="63" customWidth="1"/>
    <col min="32" max="32" width="1.7109375" style="63" customWidth="1"/>
    <col min="33" max="33" width="12.7109375" style="63" customWidth="1"/>
    <col min="34" max="34" width="1.7109375" style="63" customWidth="1"/>
    <col min="35" max="35" width="11.85546875" style="63" customWidth="1"/>
    <col min="36" max="36" width="1.7109375" style="63" customWidth="1"/>
    <col min="37" max="37" width="11.85546875" style="63" customWidth="1"/>
    <col min="38" max="38" width="1.7109375" style="63" customWidth="1"/>
    <col min="39" max="39" width="12.140625" style="63" customWidth="1"/>
    <col min="40" max="40" width="1.7109375" style="63" customWidth="1"/>
    <col min="41" max="41" width="12.140625" style="63" customWidth="1"/>
    <col min="42" max="42" width="1.7109375" style="63" customWidth="1"/>
    <col min="43" max="43" width="11.85546875" style="63" customWidth="1"/>
    <col min="44" max="44" width="1.7109375" style="63" customWidth="1"/>
    <col min="45" max="45" width="11.85546875" style="63" customWidth="1"/>
    <col min="46" max="46" width="1.7109375" style="63" customWidth="1"/>
    <col min="47" max="47" width="9.28515625" style="63" customWidth="1"/>
    <col min="48" max="48" width="1.7109375" style="63" customWidth="1"/>
    <col min="49" max="49" width="9.28515625" style="63" customWidth="1"/>
    <col min="50" max="50" width="1.7109375" style="63" customWidth="1"/>
    <col min="51" max="51" width="12" style="110" customWidth="1"/>
    <col min="52" max="52" width="1.7109375" style="110" customWidth="1"/>
    <col min="53" max="53" width="11.85546875" style="110" customWidth="1"/>
    <col min="54" max="54" width="1.7109375" style="110" customWidth="1"/>
    <col min="55" max="55" width="11.85546875" style="110" customWidth="1"/>
    <col min="56" max="56" width="1.7109375" style="110" customWidth="1"/>
    <col min="57" max="57" width="11.85546875" style="110" customWidth="1"/>
    <col min="58" max="58" width="1.7109375" style="110" customWidth="1"/>
    <col min="59" max="59" width="11.85546875" style="110" customWidth="1"/>
    <col min="60" max="60" width="1.7109375" style="35" customWidth="1"/>
    <col min="61" max="61" width="9.140625" style="35"/>
    <col min="62" max="62" width="1.7109375" style="35" customWidth="1"/>
    <col min="63" max="63" width="9.140625" style="35"/>
    <col min="64" max="64" width="1.7109375" style="35" customWidth="1"/>
    <col min="65" max="65" width="9.140625" style="35"/>
    <col min="66" max="66" width="1.7109375" style="35" customWidth="1"/>
    <col min="67" max="67" width="9.140625" style="35"/>
    <col min="68" max="68" width="1.7109375" style="35" customWidth="1"/>
    <col min="69" max="69" width="9.140625" style="35"/>
    <col min="70" max="70" width="1.7109375" style="35" customWidth="1"/>
    <col min="71" max="71" width="9.140625" style="35"/>
    <col min="72" max="72" width="1.7109375" style="35" customWidth="1"/>
    <col min="73" max="73" width="9.140625" style="35"/>
    <col min="74" max="74" width="1.7109375" style="35" customWidth="1"/>
    <col min="75" max="75" width="9.140625" style="35"/>
    <col min="76" max="76" width="1.7109375" style="35" customWidth="1"/>
    <col min="77" max="77" width="9.140625" style="35"/>
    <col min="78" max="78" width="1.7109375" style="35" customWidth="1"/>
    <col min="79" max="108" width="9.140625" style="35"/>
    <col min="109" max="16384" width="9.140625" style="37"/>
  </cols>
  <sheetData>
    <row r="1" spans="1:108" s="10" customFormat="1" x14ac:dyDescent="0.2">
      <c r="A1" s="22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6"/>
      <c r="AZ1" s="6"/>
      <c r="BA1" s="6"/>
      <c r="BB1" s="6"/>
      <c r="BC1" s="6"/>
      <c r="BD1" s="6"/>
      <c r="BE1" s="6"/>
      <c r="BF1" s="6"/>
      <c r="BG1" s="6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</row>
    <row r="2" spans="1:108" s="10" customFormat="1" x14ac:dyDescent="0.2">
      <c r="A2" s="22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6"/>
      <c r="AZ2" s="6"/>
      <c r="BA2" s="6"/>
      <c r="BB2" s="6"/>
      <c r="BC2" s="6"/>
      <c r="BD2" s="6"/>
      <c r="BE2" s="6"/>
      <c r="BF2" s="6"/>
      <c r="BG2" s="6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</row>
    <row r="3" spans="1:108" s="10" customFormat="1" x14ac:dyDescent="0.2">
      <c r="A3" s="22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6"/>
      <c r="AZ3" s="6"/>
      <c r="BA3" s="6"/>
      <c r="BB3" s="6"/>
      <c r="BC3" s="6"/>
      <c r="BD3" s="6"/>
      <c r="BE3" s="6"/>
      <c r="BF3" s="6"/>
      <c r="BG3" s="6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</row>
    <row r="4" spans="1:108" s="10" customFormat="1" x14ac:dyDescent="0.2">
      <c r="A4" s="89"/>
      <c r="B4" s="225"/>
      <c r="C4" s="278"/>
      <c r="D4" s="278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50"/>
      <c r="R4" s="50"/>
      <c r="S4" s="50"/>
      <c r="T4" s="282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82"/>
      <c r="AV4" s="282"/>
      <c r="AW4" s="282"/>
      <c r="AX4" s="282"/>
      <c r="AY4" s="6"/>
      <c r="AZ4" s="6"/>
      <c r="BA4" s="6"/>
      <c r="BB4" s="6"/>
      <c r="BC4" s="6"/>
      <c r="BD4" s="6"/>
      <c r="BE4" s="6"/>
      <c r="BF4" s="6"/>
      <c r="BG4" s="6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</row>
    <row r="5" spans="1:108" s="10" customFormat="1" ht="15.75" thickBot="1" x14ac:dyDescent="0.3">
      <c r="A5" s="89"/>
      <c r="B5" s="225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50"/>
      <c r="AI5" s="465" t="s">
        <v>185</v>
      </c>
      <c r="AJ5" s="465"/>
      <c r="AK5" s="465"/>
      <c r="AL5" s="50"/>
      <c r="AM5" s="465" t="s">
        <v>117</v>
      </c>
      <c r="AN5" s="465"/>
      <c r="AO5" s="465"/>
      <c r="AP5" s="465"/>
      <c r="AQ5" s="465"/>
      <c r="AR5" s="465"/>
      <c r="AS5" s="465"/>
      <c r="AT5" s="282"/>
      <c r="AU5" s="457" t="s">
        <v>196</v>
      </c>
      <c r="AV5" s="457"/>
      <c r="AW5" s="457"/>
      <c r="AX5" s="366"/>
      <c r="AY5" s="6"/>
      <c r="AZ5" s="6"/>
      <c r="BA5" s="6"/>
      <c r="BB5" s="6"/>
      <c r="BC5" s="6"/>
      <c r="BD5" s="6"/>
      <c r="BE5" s="6"/>
      <c r="BF5" s="6"/>
      <c r="BG5" s="6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</row>
    <row r="6" spans="1:108" ht="15" x14ac:dyDescent="0.25">
      <c r="B6" s="226"/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82"/>
      <c r="AI6" s="103"/>
      <c r="AJ6" s="104"/>
      <c r="AK6" s="102" t="str">
        <f>+'Lead Sheet '!AO4</f>
        <v>Barbara</v>
      </c>
      <c r="AL6" s="282"/>
      <c r="AM6" s="103"/>
      <c r="AN6" s="104"/>
      <c r="AO6" s="104"/>
      <c r="AP6" s="104"/>
      <c r="AQ6" s="92" t="s">
        <v>195</v>
      </c>
      <c r="AR6" s="104"/>
      <c r="AS6" s="102" t="s">
        <v>195</v>
      </c>
      <c r="AT6" s="112"/>
      <c r="AU6" s="129"/>
      <c r="AV6" s="128"/>
      <c r="AW6" s="130"/>
      <c r="AY6" s="79"/>
      <c r="AZ6" s="77"/>
      <c r="BA6" s="81"/>
      <c r="BB6" s="77"/>
      <c r="BC6" s="81"/>
      <c r="BD6" s="77"/>
      <c r="BE6" s="81"/>
      <c r="BF6" s="77"/>
      <c r="BG6" s="82"/>
    </row>
    <row r="7" spans="1:108" ht="15" x14ac:dyDescent="0.25">
      <c r="B7" s="226"/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106" t="str">
        <f>+'Lead Sheet '!AM5</f>
        <v>James</v>
      </c>
      <c r="AJ7" s="282"/>
      <c r="AK7" s="107" t="str">
        <f>+'Lead Sheet '!AO5</f>
        <v>BUTTERHOF</v>
      </c>
      <c r="AL7" s="282"/>
      <c r="AM7" s="106" t="s">
        <v>223</v>
      </c>
      <c r="AN7" s="282"/>
      <c r="AO7" s="95" t="s">
        <v>225</v>
      </c>
      <c r="AP7" s="282"/>
      <c r="AQ7" s="95" t="s">
        <v>118</v>
      </c>
      <c r="AR7" s="282"/>
      <c r="AS7" s="107" t="s">
        <v>118</v>
      </c>
      <c r="AT7" s="112"/>
      <c r="AU7" s="155"/>
      <c r="AV7" s="137"/>
      <c r="AW7" s="156"/>
      <c r="AY7" s="78" t="s">
        <v>24</v>
      </c>
      <c r="AZ7" s="76"/>
      <c r="BA7" s="83" t="s">
        <v>24</v>
      </c>
      <c r="BB7" s="76"/>
      <c r="BC7" s="83" t="s">
        <v>24</v>
      </c>
      <c r="BD7" s="76"/>
      <c r="BE7" s="83" t="s">
        <v>24</v>
      </c>
      <c r="BF7" s="76"/>
      <c r="BG7" s="84" t="s">
        <v>24</v>
      </c>
    </row>
    <row r="8" spans="1:108" ht="14.25" x14ac:dyDescent="0.2">
      <c r="A8" s="61" t="s">
        <v>91</v>
      </c>
      <c r="B8" s="226"/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106" t="str">
        <f>+'Lead Sheet '!AM6</f>
        <v>BERTINO</v>
      </c>
      <c r="AJ8" s="282"/>
      <c r="AK8" s="107" t="str">
        <f>+'Lead Sheet '!AO6</f>
        <v>RHEAULT</v>
      </c>
      <c r="AL8" s="282"/>
      <c r="AM8" s="106" t="s">
        <v>224</v>
      </c>
      <c r="AN8" s="282"/>
      <c r="AO8" s="95" t="s">
        <v>226</v>
      </c>
      <c r="AP8" s="282"/>
      <c r="AQ8" s="95" t="s">
        <v>119</v>
      </c>
      <c r="AR8" s="282"/>
      <c r="AS8" s="107" t="s">
        <v>119</v>
      </c>
      <c r="AT8" s="112"/>
      <c r="AU8" s="315" t="s">
        <v>106</v>
      </c>
      <c r="AV8" s="143"/>
      <c r="AW8" s="316" t="s">
        <v>107</v>
      </c>
      <c r="AY8" s="78" t="s">
        <v>83</v>
      </c>
      <c r="AZ8" s="76"/>
      <c r="BA8" s="83" t="s">
        <v>84</v>
      </c>
      <c r="BB8" s="76"/>
      <c r="BC8" s="83" t="s">
        <v>85</v>
      </c>
      <c r="BD8" s="76"/>
      <c r="BE8" s="83" t="s">
        <v>86</v>
      </c>
      <c r="BF8" s="76"/>
      <c r="BG8" s="84" t="s">
        <v>87</v>
      </c>
    </row>
    <row r="9" spans="1:108" ht="14.25" x14ac:dyDescent="0.2">
      <c r="A9" s="61" t="s">
        <v>92</v>
      </c>
      <c r="B9" s="226"/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106" t="str">
        <f>+'Lead Sheet '!AM7</f>
        <v>Republican</v>
      </c>
      <c r="AJ9" s="282"/>
      <c r="AK9" s="107" t="str">
        <f>+'Lead Sheet '!AO7</f>
        <v>Democratic</v>
      </c>
      <c r="AL9" s="282"/>
      <c r="AM9" s="106" t="s">
        <v>93</v>
      </c>
      <c r="AN9" s="282"/>
      <c r="AO9" s="95" t="s">
        <v>93</v>
      </c>
      <c r="AP9" s="282"/>
      <c r="AQ9" s="37" t="s">
        <v>99</v>
      </c>
      <c r="AR9" s="37"/>
      <c r="AS9" s="367" t="s">
        <v>99</v>
      </c>
      <c r="AT9" s="112"/>
      <c r="AU9" s="296"/>
      <c r="AV9" s="295"/>
      <c r="AW9" s="297"/>
      <c r="AY9" s="78" t="s">
        <v>89</v>
      </c>
      <c r="AZ9" s="76"/>
      <c r="BA9" s="83" t="s">
        <v>90</v>
      </c>
      <c r="BB9" s="76"/>
      <c r="BC9" s="83" t="s">
        <v>89</v>
      </c>
      <c r="BD9" s="76"/>
      <c r="BE9" s="83" t="s">
        <v>89</v>
      </c>
      <c r="BF9" s="76"/>
      <c r="BG9" s="84" t="s">
        <v>89</v>
      </c>
    </row>
    <row r="10" spans="1:108" s="370" customFormat="1" ht="15" thickBot="1" x14ac:dyDescent="0.25">
      <c r="A10" s="368"/>
      <c r="B10" s="369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67"/>
      <c r="AM10" s="264"/>
      <c r="AN10" s="265"/>
      <c r="AO10" s="265"/>
      <c r="AP10" s="265"/>
      <c r="AQ10" s="265"/>
      <c r="AR10" s="265"/>
      <c r="AS10" s="266"/>
      <c r="AT10" s="162"/>
      <c r="AU10" s="337"/>
      <c r="AV10" s="330"/>
      <c r="AW10" s="346"/>
      <c r="AY10" s="80"/>
      <c r="AZ10" s="85"/>
      <c r="BA10" s="85"/>
      <c r="BB10" s="85"/>
      <c r="BC10" s="85"/>
      <c r="BD10" s="85"/>
      <c r="BE10" s="85"/>
      <c r="BF10" s="85"/>
      <c r="BG10" s="86"/>
      <c r="BH10" s="371"/>
      <c r="BI10" s="371"/>
      <c r="BJ10" s="371"/>
      <c r="BK10" s="371"/>
      <c r="BL10" s="371"/>
      <c r="BM10" s="371"/>
      <c r="BN10" s="371"/>
      <c r="BO10" s="371"/>
      <c r="BP10" s="371"/>
      <c r="BQ10" s="371"/>
      <c r="BR10" s="371"/>
      <c r="BS10" s="371"/>
      <c r="BT10" s="371"/>
      <c r="BU10" s="371"/>
      <c r="BV10" s="371"/>
      <c r="BW10" s="371"/>
      <c r="BX10" s="371"/>
      <c r="BY10" s="371"/>
      <c r="BZ10" s="371"/>
      <c r="CA10" s="371"/>
      <c r="CB10" s="371"/>
      <c r="CC10" s="371"/>
      <c r="CD10" s="371"/>
      <c r="CE10" s="371"/>
      <c r="CF10" s="371"/>
      <c r="CG10" s="371"/>
      <c r="CH10" s="371"/>
      <c r="CI10" s="371"/>
      <c r="CJ10" s="371"/>
      <c r="CK10" s="371"/>
      <c r="CL10" s="371"/>
      <c r="CM10" s="371"/>
      <c r="CN10" s="371"/>
      <c r="CO10" s="371"/>
      <c r="CP10" s="371"/>
      <c r="CQ10" s="371"/>
      <c r="CR10" s="371"/>
      <c r="CS10" s="371"/>
      <c r="CT10" s="371"/>
      <c r="CU10" s="371"/>
      <c r="CV10" s="371"/>
      <c r="CW10" s="371"/>
      <c r="CX10" s="371"/>
      <c r="CY10" s="371"/>
      <c r="CZ10" s="371"/>
      <c r="DA10" s="371"/>
      <c r="DB10" s="371"/>
      <c r="DC10" s="371"/>
      <c r="DD10" s="371"/>
    </row>
    <row r="11" spans="1:108" s="227" customFormat="1" x14ac:dyDescent="0.2">
      <c r="A11" s="61" t="s">
        <v>53</v>
      </c>
      <c r="C11" s="62">
        <f>170+162</f>
        <v>332</v>
      </c>
      <c r="D11" s="35"/>
      <c r="E11" s="62">
        <f>125+134</f>
        <v>259</v>
      </c>
      <c r="F11" s="35"/>
      <c r="G11" s="62">
        <f>9+10</f>
        <v>19</v>
      </c>
      <c r="H11" s="35"/>
      <c r="I11" s="62">
        <f>1+2</f>
        <v>3</v>
      </c>
      <c r="J11" s="35"/>
      <c r="K11" s="62">
        <f>1+1</f>
        <v>2</v>
      </c>
      <c r="L11" s="35"/>
      <c r="M11" s="62">
        <f>1+2</f>
        <v>3</v>
      </c>
      <c r="N11" s="35"/>
      <c r="O11" s="62">
        <v>1</v>
      </c>
      <c r="P11" s="35"/>
      <c r="Q11" s="62">
        <v>0</v>
      </c>
      <c r="R11" s="35"/>
      <c r="S11" s="62">
        <f>142+135</f>
        <v>277</v>
      </c>
      <c r="T11" s="35"/>
      <c r="U11" s="62">
        <f>163+165</f>
        <v>328</v>
      </c>
      <c r="V11" s="35"/>
      <c r="W11" s="62">
        <f>5+1</f>
        <v>6</v>
      </c>
      <c r="X11" s="35"/>
      <c r="Y11" s="62">
        <v>1</v>
      </c>
      <c r="Z11" s="35"/>
      <c r="AA11" s="62">
        <f>1+1</f>
        <v>2</v>
      </c>
      <c r="AB11" s="35"/>
      <c r="AC11" s="62">
        <v>5</v>
      </c>
      <c r="AD11" s="35"/>
      <c r="AE11" s="62">
        <f>171+154</f>
        <v>325</v>
      </c>
      <c r="AF11" s="35"/>
      <c r="AG11" s="62">
        <f>132+145</f>
        <v>277</v>
      </c>
      <c r="AH11" s="35"/>
      <c r="AI11" s="62">
        <f>174+161</f>
        <v>335</v>
      </c>
      <c r="AJ11" s="35"/>
      <c r="AK11" s="62">
        <f>131+143</f>
        <v>274</v>
      </c>
      <c r="AL11" s="35"/>
      <c r="AM11" s="62">
        <f>209+192</f>
        <v>401</v>
      </c>
      <c r="AN11" s="35"/>
      <c r="AO11" s="62">
        <f>198+183</f>
        <v>381</v>
      </c>
      <c r="AP11" s="35"/>
      <c r="AQ11" s="62"/>
      <c r="AR11" s="35"/>
      <c r="AS11" s="62"/>
      <c r="AT11" s="35"/>
      <c r="AU11" s="62">
        <f>101+94</f>
        <v>195</v>
      </c>
      <c r="AV11" s="35"/>
      <c r="AW11" s="62">
        <f>119+125</f>
        <v>244</v>
      </c>
      <c r="AX11" s="35"/>
      <c r="AY11" s="62">
        <f>319+319</f>
        <v>638</v>
      </c>
      <c r="AZ11" s="35"/>
      <c r="BA11" s="62">
        <v>115</v>
      </c>
      <c r="BB11" s="35"/>
      <c r="BC11" s="62">
        <v>12</v>
      </c>
      <c r="BD11" s="63"/>
      <c r="BE11" s="62"/>
      <c r="BF11" s="63"/>
      <c r="BG11" s="62">
        <f>+SUM(AY11:BE11)</f>
        <v>765</v>
      </c>
      <c r="BH11" s="228"/>
      <c r="BI11" s="228"/>
      <c r="BJ11" s="228"/>
      <c r="BK11" s="228"/>
      <c r="BL11" s="228"/>
      <c r="BM11" s="228"/>
      <c r="BN11" s="228"/>
      <c r="BO11" s="228"/>
      <c r="BP11" s="228"/>
      <c r="BQ11" s="228"/>
      <c r="BR11" s="228"/>
      <c r="BS11" s="228"/>
      <c r="BT11" s="228"/>
      <c r="BU11" s="228"/>
      <c r="BV11" s="228"/>
      <c r="BW11" s="228"/>
      <c r="BX11" s="228"/>
      <c r="BY11" s="228"/>
      <c r="BZ11" s="228"/>
      <c r="CA11" s="228"/>
      <c r="CB11" s="228"/>
      <c r="CC11" s="228"/>
      <c r="CD11" s="228"/>
      <c r="CE11" s="228"/>
      <c r="CF11" s="228"/>
      <c r="CG11" s="228"/>
      <c r="CH11" s="228"/>
      <c r="CI11" s="228"/>
      <c r="CJ11" s="228"/>
      <c r="CK11" s="228"/>
      <c r="CL11" s="228"/>
      <c r="CM11" s="228"/>
      <c r="CN11" s="228"/>
      <c r="CO11" s="228"/>
      <c r="CP11" s="228"/>
      <c r="CQ11" s="228"/>
      <c r="CR11" s="228"/>
      <c r="CS11" s="228"/>
      <c r="CT11" s="228"/>
      <c r="CU11" s="228"/>
      <c r="CV11" s="228"/>
      <c r="CW11" s="228"/>
      <c r="CX11" s="228"/>
      <c r="CY11" s="228"/>
      <c r="CZ11" s="228"/>
      <c r="DA11" s="228"/>
      <c r="DB11" s="228"/>
      <c r="DC11" s="228"/>
      <c r="DD11" s="228"/>
    </row>
    <row r="12" spans="1:108" x14ac:dyDescent="0.2">
      <c r="A12" s="61" t="s">
        <v>54</v>
      </c>
      <c r="C12" s="60">
        <f>170+174</f>
        <v>344</v>
      </c>
      <c r="D12" s="35"/>
      <c r="E12" s="60">
        <f>129+136</f>
        <v>265</v>
      </c>
      <c r="F12" s="35"/>
      <c r="G12" s="60">
        <f>6+5</f>
        <v>11</v>
      </c>
      <c r="H12" s="35"/>
      <c r="I12" s="60">
        <v>0</v>
      </c>
      <c r="J12" s="35"/>
      <c r="K12" s="60">
        <f>3+4</f>
        <v>7</v>
      </c>
      <c r="L12" s="35"/>
      <c r="M12" s="60">
        <f>4+2</f>
        <v>6</v>
      </c>
      <c r="N12" s="35"/>
      <c r="O12" s="60">
        <f>5+1</f>
        <v>6</v>
      </c>
      <c r="P12" s="35"/>
      <c r="Q12" s="60">
        <v>1</v>
      </c>
      <c r="R12" s="35"/>
      <c r="S12" s="60">
        <f>149+154</f>
        <v>303</v>
      </c>
      <c r="T12" s="35"/>
      <c r="U12" s="60">
        <f>164+166</f>
        <v>330</v>
      </c>
      <c r="V12" s="35"/>
      <c r="W12" s="60">
        <f>2+2</f>
        <v>4</v>
      </c>
      <c r="X12" s="35"/>
      <c r="Y12" s="60">
        <f>1+2</f>
        <v>3</v>
      </c>
      <c r="Z12" s="35"/>
      <c r="AA12" s="60">
        <v>2</v>
      </c>
      <c r="AB12" s="35"/>
      <c r="AC12" s="60">
        <v>2</v>
      </c>
      <c r="AD12" s="35"/>
      <c r="AE12" s="60">
        <f>174+181</f>
        <v>355</v>
      </c>
      <c r="AF12" s="35"/>
      <c r="AG12" s="60">
        <f>137+137</f>
        <v>274</v>
      </c>
      <c r="AH12" s="35"/>
      <c r="AI12" s="60">
        <f>175+182</f>
        <v>357</v>
      </c>
      <c r="AJ12" s="35"/>
      <c r="AK12" s="60">
        <f>135+129</f>
        <v>264</v>
      </c>
      <c r="AL12" s="35"/>
      <c r="AM12" s="60">
        <f>204+221</f>
        <v>425</v>
      </c>
      <c r="AN12" s="35"/>
      <c r="AO12" s="60">
        <f>192+203</f>
        <v>395</v>
      </c>
      <c r="AP12" s="35"/>
      <c r="AQ12" s="60"/>
      <c r="AR12" s="35"/>
      <c r="AS12" s="60"/>
      <c r="AT12" s="35"/>
      <c r="AU12" s="60">
        <f>86+94</f>
        <v>180</v>
      </c>
      <c r="AV12" s="35"/>
      <c r="AW12" s="60">
        <f>151+147</f>
        <v>298</v>
      </c>
      <c r="AX12" s="35"/>
      <c r="AY12" s="60">
        <f>324+329</f>
        <v>653</v>
      </c>
      <c r="AZ12" s="35"/>
      <c r="BA12" s="60"/>
      <c r="BB12" s="35"/>
      <c r="BC12" s="60"/>
      <c r="BD12" s="63"/>
      <c r="BE12" s="60"/>
      <c r="BF12" s="63"/>
      <c r="BG12" s="62">
        <f>+SUM(AY12:BE12)</f>
        <v>653</v>
      </c>
    </row>
    <row r="13" spans="1:108" ht="13.5" thickBot="1" x14ac:dyDescent="0.25"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63"/>
      <c r="BE13" s="35"/>
      <c r="BF13" s="63"/>
      <c r="BG13" s="35"/>
    </row>
    <row r="14" spans="1:108" s="48" customFormat="1" ht="13.5" thickBot="1" x14ac:dyDescent="0.25">
      <c r="A14" s="3" t="s">
        <v>24</v>
      </c>
      <c r="C14" s="41">
        <f>+SUM(C11:C12)</f>
        <v>676</v>
      </c>
      <c r="D14" s="118"/>
      <c r="E14" s="41">
        <f>+SUM(E11:E12)</f>
        <v>524</v>
      </c>
      <c r="F14" s="118"/>
      <c r="G14" s="41">
        <f>+SUM(G11:G12)</f>
        <v>30</v>
      </c>
      <c r="H14" s="118"/>
      <c r="I14" s="41">
        <f>+SUM(I11:I12)</f>
        <v>3</v>
      </c>
      <c r="J14" s="118"/>
      <c r="K14" s="41">
        <f>+SUM(K11:K12)</f>
        <v>9</v>
      </c>
      <c r="L14" s="118"/>
      <c r="M14" s="41">
        <f>+SUM(M11:M12)</f>
        <v>9</v>
      </c>
      <c r="N14" s="118"/>
      <c r="O14" s="41">
        <f>+SUM(O11:O12)</f>
        <v>7</v>
      </c>
      <c r="P14" s="118"/>
      <c r="Q14" s="41">
        <f>+SUM(Q11:Q12)</f>
        <v>1</v>
      </c>
      <c r="R14" s="118"/>
      <c r="S14" s="41">
        <f>+SUM(S11:S12)</f>
        <v>580</v>
      </c>
      <c r="T14" s="118"/>
      <c r="U14" s="41">
        <f>+SUM(U11:U12)</f>
        <v>658</v>
      </c>
      <c r="V14" s="42"/>
      <c r="W14" s="41">
        <f>+SUM(W11:W12)</f>
        <v>10</v>
      </c>
      <c r="X14" s="118"/>
      <c r="Y14" s="41">
        <f>+SUM(Y11:Y12)</f>
        <v>4</v>
      </c>
      <c r="Z14" s="42"/>
      <c r="AA14" s="41">
        <f>+SUM(AA11:AA12)</f>
        <v>4</v>
      </c>
      <c r="AB14" s="118"/>
      <c r="AC14" s="41">
        <f>+SUM(AC11:AC12)</f>
        <v>7</v>
      </c>
      <c r="AD14" s="118"/>
      <c r="AE14" s="41">
        <f>+SUM(AE11:AE12)</f>
        <v>680</v>
      </c>
      <c r="AF14" s="118"/>
      <c r="AG14" s="41">
        <f>+SUM(AG11:AG12)</f>
        <v>551</v>
      </c>
      <c r="AH14" s="118"/>
      <c r="AI14" s="41">
        <f>+SUM(AI11:AI12)</f>
        <v>692</v>
      </c>
      <c r="AJ14" s="118"/>
      <c r="AK14" s="41">
        <f>+SUM(AK11:AK12)</f>
        <v>538</v>
      </c>
      <c r="AL14" s="118"/>
      <c r="AM14" s="41">
        <f>+SUM(AM11:AM12)</f>
        <v>826</v>
      </c>
      <c r="AN14" s="118"/>
      <c r="AO14" s="41">
        <f>+SUM(AO11:AO12)</f>
        <v>776</v>
      </c>
      <c r="AP14" s="118"/>
      <c r="AQ14" s="41">
        <f>+SUM(AQ11:AQ12)</f>
        <v>0</v>
      </c>
      <c r="AR14" s="118"/>
      <c r="AS14" s="41">
        <f>+SUM(AS11:AS12)</f>
        <v>0</v>
      </c>
      <c r="AT14" s="118"/>
      <c r="AU14" s="41">
        <f>+SUM(AU11:AU12)</f>
        <v>375</v>
      </c>
      <c r="AV14" s="118"/>
      <c r="AW14" s="41">
        <f>+SUM(AW11:AW12)</f>
        <v>542</v>
      </c>
      <c r="AX14" s="118"/>
      <c r="AY14" s="41">
        <f>+SUM(AY11:AY12)</f>
        <v>1291</v>
      </c>
      <c r="AZ14" s="118"/>
      <c r="BA14" s="41">
        <f>+SUM(BA11:BA12)</f>
        <v>115</v>
      </c>
      <c r="BB14" s="118"/>
      <c r="BC14" s="41">
        <f>+SUM(BC11:BC12)</f>
        <v>12</v>
      </c>
      <c r="BD14" s="112"/>
      <c r="BE14" s="41">
        <f>+SUM(BE11:BE12)</f>
        <v>0</v>
      </c>
      <c r="BF14" s="112"/>
      <c r="BG14" s="41">
        <f>+SUM(BG11:BG12)</f>
        <v>1418</v>
      </c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</row>
    <row r="15" spans="1:108" x14ac:dyDescent="0.2">
      <c r="A15" s="36" t="s">
        <v>73</v>
      </c>
      <c r="C15" s="35">
        <v>52</v>
      </c>
      <c r="D15" s="35"/>
      <c r="E15" s="35">
        <v>55</v>
      </c>
      <c r="F15" s="35"/>
      <c r="G15" s="35">
        <v>1</v>
      </c>
      <c r="H15" s="35"/>
      <c r="I15" s="35">
        <v>0</v>
      </c>
      <c r="J15" s="35"/>
      <c r="K15" s="35">
        <v>0</v>
      </c>
      <c r="L15" s="35"/>
      <c r="M15" s="35">
        <v>1</v>
      </c>
      <c r="N15" s="35"/>
      <c r="O15" s="35">
        <v>1</v>
      </c>
      <c r="P15" s="35"/>
      <c r="Q15" s="35">
        <v>0</v>
      </c>
      <c r="R15" s="35"/>
      <c r="S15" s="35">
        <v>40</v>
      </c>
      <c r="T15" s="35"/>
      <c r="U15" s="35">
        <v>70</v>
      </c>
      <c r="V15" s="35"/>
      <c r="W15" s="35">
        <v>0</v>
      </c>
      <c r="X15" s="35"/>
      <c r="Y15" s="35">
        <v>0</v>
      </c>
      <c r="Z15" s="35"/>
      <c r="AA15" s="35">
        <v>0</v>
      </c>
      <c r="AB15" s="35"/>
      <c r="AC15" s="35">
        <v>1</v>
      </c>
      <c r="AD15" s="35"/>
      <c r="AE15" s="35">
        <v>52</v>
      </c>
      <c r="AF15" s="35"/>
      <c r="AG15" s="35">
        <v>58</v>
      </c>
      <c r="AH15" s="35"/>
      <c r="AI15" s="35">
        <v>53</v>
      </c>
      <c r="AJ15" s="35"/>
      <c r="AK15" s="35">
        <v>56</v>
      </c>
      <c r="AL15" s="35"/>
      <c r="AM15" s="35">
        <v>66</v>
      </c>
      <c r="AN15" s="35"/>
      <c r="AO15" s="35">
        <v>62</v>
      </c>
      <c r="AP15" s="35"/>
      <c r="AQ15" s="35"/>
      <c r="AR15" s="35"/>
      <c r="AS15" s="35"/>
      <c r="AT15" s="35"/>
      <c r="AU15" s="35">
        <v>73</v>
      </c>
      <c r="AV15" s="35"/>
      <c r="AW15" s="35">
        <v>33</v>
      </c>
      <c r="AX15" s="35"/>
      <c r="AY15" s="35"/>
      <c r="BA15" s="37"/>
      <c r="BB15" s="37"/>
      <c r="BC15" s="37"/>
      <c r="BE15" s="37"/>
      <c r="BF15" s="37"/>
      <c r="BG15" s="37"/>
    </row>
    <row r="16" spans="1:108" x14ac:dyDescent="0.2">
      <c r="A16" s="36" t="s">
        <v>25</v>
      </c>
      <c r="C16" s="35">
        <v>4</v>
      </c>
      <c r="D16" s="35"/>
      <c r="E16" s="35">
        <v>4</v>
      </c>
      <c r="F16" s="35"/>
      <c r="G16" s="35">
        <v>2</v>
      </c>
      <c r="H16" s="35"/>
      <c r="I16" s="35">
        <v>0</v>
      </c>
      <c r="J16" s="35"/>
      <c r="K16" s="35">
        <v>0</v>
      </c>
      <c r="L16" s="35"/>
      <c r="M16" s="35">
        <v>0</v>
      </c>
      <c r="N16" s="35"/>
      <c r="O16" s="35">
        <v>0</v>
      </c>
      <c r="P16" s="35"/>
      <c r="Q16" s="35">
        <v>0</v>
      </c>
      <c r="R16" s="35"/>
      <c r="S16" s="35">
        <v>2</v>
      </c>
      <c r="T16" s="35"/>
      <c r="U16" s="35">
        <v>9</v>
      </c>
      <c r="V16" s="35"/>
      <c r="W16" s="35">
        <v>0</v>
      </c>
      <c r="X16" s="35"/>
      <c r="Y16" s="35">
        <v>0</v>
      </c>
      <c r="Z16" s="35"/>
      <c r="AA16" s="35">
        <v>0</v>
      </c>
      <c r="AB16" s="35"/>
      <c r="AC16" s="35">
        <v>0</v>
      </c>
      <c r="AD16" s="35"/>
      <c r="AE16" s="35">
        <v>4</v>
      </c>
      <c r="AF16" s="35"/>
      <c r="AG16" s="35">
        <v>7</v>
      </c>
      <c r="AH16" s="35"/>
      <c r="AI16" s="35">
        <v>4</v>
      </c>
      <c r="AJ16" s="35"/>
      <c r="AK16" s="35">
        <v>8</v>
      </c>
      <c r="AL16" s="35"/>
      <c r="AM16" s="35">
        <v>6</v>
      </c>
      <c r="AN16" s="35"/>
      <c r="AO16" s="35">
        <v>6</v>
      </c>
      <c r="AP16" s="35"/>
      <c r="AQ16" s="35"/>
      <c r="AR16" s="35"/>
      <c r="AS16" s="35"/>
      <c r="AT16" s="35"/>
      <c r="AU16" s="35">
        <v>3</v>
      </c>
      <c r="AV16" s="35"/>
      <c r="AW16" s="35">
        <v>3</v>
      </c>
      <c r="AX16" s="35"/>
      <c r="AY16" s="35"/>
    </row>
    <row r="17" spans="1:108" ht="13.5" thickBot="1" x14ac:dyDescent="0.25">
      <c r="A17" s="36" t="s">
        <v>79</v>
      </c>
      <c r="C17" s="35">
        <v>1</v>
      </c>
      <c r="D17" s="35"/>
      <c r="E17" s="35">
        <v>0</v>
      </c>
      <c r="F17" s="35"/>
      <c r="G17" s="35">
        <v>0</v>
      </c>
      <c r="H17" s="35"/>
      <c r="I17" s="35">
        <v>0</v>
      </c>
      <c r="J17" s="35"/>
      <c r="K17" s="35">
        <v>0</v>
      </c>
      <c r="L17" s="35"/>
      <c r="M17" s="35">
        <v>0</v>
      </c>
      <c r="N17" s="35"/>
      <c r="O17" s="35">
        <v>0</v>
      </c>
      <c r="P17" s="35"/>
      <c r="Q17" s="35">
        <v>0</v>
      </c>
      <c r="R17" s="35"/>
      <c r="S17" s="35">
        <v>1</v>
      </c>
      <c r="T17" s="35"/>
      <c r="U17" s="35">
        <v>0</v>
      </c>
      <c r="V17" s="35"/>
      <c r="W17" s="35">
        <v>0</v>
      </c>
      <c r="X17" s="35"/>
      <c r="Y17" s="35">
        <v>0</v>
      </c>
      <c r="Z17" s="35"/>
      <c r="AA17" s="35">
        <v>0</v>
      </c>
      <c r="AB17" s="35"/>
      <c r="AC17" s="35">
        <v>0</v>
      </c>
      <c r="AD17" s="35"/>
      <c r="AE17" s="35">
        <v>1</v>
      </c>
      <c r="AF17" s="35"/>
      <c r="AG17" s="35">
        <v>0</v>
      </c>
      <c r="AH17" s="35"/>
      <c r="AI17" s="35">
        <v>0</v>
      </c>
      <c r="AJ17" s="35"/>
      <c r="AK17" s="35">
        <v>0</v>
      </c>
      <c r="AL17" s="35"/>
      <c r="AM17" s="35">
        <v>0</v>
      </c>
      <c r="AN17" s="35"/>
      <c r="AO17" s="35">
        <v>0</v>
      </c>
      <c r="AP17" s="35"/>
      <c r="AQ17" s="35"/>
      <c r="AR17" s="35"/>
      <c r="AS17" s="35"/>
      <c r="AT17" s="35"/>
      <c r="AU17" s="35">
        <v>0</v>
      </c>
      <c r="AV17" s="35"/>
      <c r="AW17" s="35">
        <v>1</v>
      </c>
      <c r="AX17" s="35"/>
      <c r="AY17" s="35"/>
    </row>
    <row r="18" spans="1:108" s="48" customFormat="1" ht="13.5" thickBot="1" x14ac:dyDescent="0.25">
      <c r="A18" s="3" t="s">
        <v>26</v>
      </c>
      <c r="C18" s="41">
        <f>+SUM(C14:C17)</f>
        <v>733</v>
      </c>
      <c r="D18" s="118"/>
      <c r="E18" s="41">
        <f>+SUM(E14:E17)</f>
        <v>583</v>
      </c>
      <c r="F18" s="118"/>
      <c r="G18" s="41">
        <f>+SUM(G14:G17)</f>
        <v>33</v>
      </c>
      <c r="H18" s="118"/>
      <c r="I18" s="41">
        <f>+SUM(I14:I17)</f>
        <v>3</v>
      </c>
      <c r="J18" s="118"/>
      <c r="K18" s="41">
        <f>+SUM(K14:K17)</f>
        <v>9</v>
      </c>
      <c r="L18" s="118"/>
      <c r="M18" s="41">
        <f>+SUM(M14:M17)</f>
        <v>10</v>
      </c>
      <c r="N18" s="118"/>
      <c r="O18" s="41">
        <f>+SUM(O14:O17)</f>
        <v>8</v>
      </c>
      <c r="P18" s="118"/>
      <c r="Q18" s="41">
        <f>+SUM(Q14:Q17)</f>
        <v>1</v>
      </c>
      <c r="R18" s="118"/>
      <c r="S18" s="41">
        <f>+SUM(S14:S17)</f>
        <v>623</v>
      </c>
      <c r="T18" s="118"/>
      <c r="U18" s="41">
        <f>+SUM(U14:U17)</f>
        <v>737</v>
      </c>
      <c r="V18" s="42"/>
      <c r="W18" s="41">
        <f>+SUM(W14:W17)</f>
        <v>10</v>
      </c>
      <c r="X18" s="118"/>
      <c r="Y18" s="41">
        <f>+SUM(Y14:Y17)</f>
        <v>4</v>
      </c>
      <c r="Z18" s="42"/>
      <c r="AA18" s="41">
        <f>+SUM(AA14:AA17)</f>
        <v>4</v>
      </c>
      <c r="AB18" s="118"/>
      <c r="AC18" s="41">
        <f>+SUM(AC14:AC17)</f>
        <v>8</v>
      </c>
      <c r="AD18" s="118"/>
      <c r="AE18" s="41">
        <f>+SUM(AE14:AE17)</f>
        <v>737</v>
      </c>
      <c r="AF18" s="118"/>
      <c r="AG18" s="41">
        <f>+SUM(AG14:AG17)</f>
        <v>616</v>
      </c>
      <c r="AH18" s="118"/>
      <c r="AI18" s="41">
        <f>+SUM(AI14:AI17)</f>
        <v>749</v>
      </c>
      <c r="AJ18" s="118"/>
      <c r="AK18" s="41">
        <f>+SUM(AK14:AK17)</f>
        <v>602</v>
      </c>
      <c r="AL18" s="118"/>
      <c r="AM18" s="41">
        <f>+SUM(AM14:AM17)</f>
        <v>898</v>
      </c>
      <c r="AN18" s="118"/>
      <c r="AO18" s="41">
        <f>+SUM(AO14:AO17)</f>
        <v>844</v>
      </c>
      <c r="AP18" s="118"/>
      <c r="AQ18" s="41">
        <f>+SUM(AQ14:AQ17)</f>
        <v>0</v>
      </c>
      <c r="AR18" s="118"/>
      <c r="AS18" s="41">
        <f>+SUM(AS14:AS17)</f>
        <v>0</v>
      </c>
      <c r="AT18" s="118"/>
      <c r="AU18" s="41">
        <f>+SUM(AU14:AU17)</f>
        <v>451</v>
      </c>
      <c r="AV18" s="118"/>
      <c r="AW18" s="41">
        <f>+SUM(AW14:AW17)</f>
        <v>579</v>
      </c>
      <c r="AX18" s="118"/>
      <c r="AY18" s="42"/>
      <c r="AZ18" s="114"/>
      <c r="BD18" s="114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</row>
    <row r="19" spans="1:108" s="10" customFormat="1" x14ac:dyDescent="0.2">
      <c r="A19" s="6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110"/>
      <c r="AZ19" s="110"/>
      <c r="BA19" s="110"/>
      <c r="BB19" s="110"/>
      <c r="BC19" s="110"/>
      <c r="BD19" s="110"/>
      <c r="BE19" s="110"/>
      <c r="BF19" s="110"/>
      <c r="BG19" s="11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</row>
    <row r="20" spans="1:108" s="10" customFormat="1" x14ac:dyDescent="0.2">
      <c r="A20" s="61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110"/>
      <c r="AZ20" s="110"/>
      <c r="BA20" s="110"/>
      <c r="BB20" s="110"/>
      <c r="BC20" s="110"/>
      <c r="BD20" s="110"/>
      <c r="BE20" s="110"/>
      <c r="BF20" s="110"/>
      <c r="BG20" s="11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</row>
    <row r="21" spans="1:108" x14ac:dyDescent="0.2"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</row>
    <row r="22" spans="1:108" x14ac:dyDescent="0.2">
      <c r="A22" s="36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</row>
    <row r="23" spans="1:108" x14ac:dyDescent="0.2">
      <c r="A23" s="36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</row>
    <row r="24" spans="1:108" x14ac:dyDescent="0.2">
      <c r="A24" s="3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</row>
    <row r="25" spans="1:108" x14ac:dyDescent="0.2"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</row>
    <row r="27" spans="1:108" s="230" customFormat="1" x14ac:dyDescent="0.2">
      <c r="A27" s="229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  <c r="AF27" s="231"/>
      <c r="AG27" s="231"/>
      <c r="AH27" s="231"/>
      <c r="AI27" s="231"/>
      <c r="AJ27" s="231"/>
      <c r="AK27" s="231"/>
      <c r="AL27" s="231"/>
      <c r="AM27" s="231"/>
      <c r="AN27" s="231"/>
      <c r="AO27" s="231"/>
      <c r="AP27" s="231"/>
      <c r="AQ27" s="231"/>
      <c r="AR27" s="231"/>
      <c r="AS27" s="231"/>
      <c r="AT27" s="231"/>
      <c r="AU27" s="231"/>
      <c r="AV27" s="231"/>
      <c r="AW27" s="231"/>
      <c r="AX27" s="231"/>
      <c r="AY27" s="232"/>
      <c r="AZ27" s="232"/>
      <c r="BA27" s="232"/>
      <c r="BB27" s="232"/>
      <c r="BC27" s="232"/>
      <c r="BD27" s="232"/>
      <c r="BE27" s="232"/>
      <c r="BF27" s="232"/>
      <c r="BG27" s="232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</row>
    <row r="28" spans="1:108" s="230" customFormat="1" x14ac:dyDescent="0.2">
      <c r="A28" s="229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231"/>
      <c r="AC28" s="231"/>
      <c r="AD28" s="231"/>
      <c r="AE28" s="231"/>
      <c r="AF28" s="231"/>
      <c r="AG28" s="231"/>
      <c r="AH28" s="231"/>
      <c r="AI28" s="231"/>
      <c r="AJ28" s="231"/>
      <c r="AK28" s="231"/>
      <c r="AL28" s="231"/>
      <c r="AM28" s="231"/>
      <c r="AN28" s="231"/>
      <c r="AO28" s="231"/>
      <c r="AP28" s="231"/>
      <c r="AQ28" s="231"/>
      <c r="AR28" s="231"/>
      <c r="AS28" s="231"/>
      <c r="AT28" s="231"/>
      <c r="AU28" s="231"/>
      <c r="AV28" s="231"/>
      <c r="AW28" s="231"/>
      <c r="AX28" s="231"/>
      <c r="AY28" s="232"/>
      <c r="AZ28" s="232"/>
      <c r="BA28" s="232"/>
      <c r="BB28" s="232"/>
      <c r="BC28" s="232"/>
      <c r="BD28" s="232"/>
      <c r="BE28" s="232"/>
      <c r="BF28" s="232"/>
      <c r="BG28" s="232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</row>
    <row r="29" spans="1:108" s="230" customFormat="1" x14ac:dyDescent="0.2">
      <c r="A29" s="229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31"/>
      <c r="Z29" s="231"/>
      <c r="AA29" s="231"/>
      <c r="AB29" s="231"/>
      <c r="AC29" s="231"/>
      <c r="AD29" s="231"/>
      <c r="AE29" s="231"/>
      <c r="AF29" s="231"/>
      <c r="AG29" s="231"/>
      <c r="AH29" s="231"/>
      <c r="AI29" s="231"/>
      <c r="AJ29" s="231"/>
      <c r="AK29" s="231"/>
      <c r="AL29" s="231"/>
      <c r="AM29" s="231"/>
      <c r="AN29" s="231"/>
      <c r="AO29" s="231"/>
      <c r="AP29" s="231"/>
      <c r="AQ29" s="231"/>
      <c r="AR29" s="231"/>
      <c r="AS29" s="231"/>
      <c r="AT29" s="231"/>
      <c r="AU29" s="231"/>
      <c r="AV29" s="231"/>
      <c r="AW29" s="231"/>
      <c r="AX29" s="231"/>
      <c r="AY29" s="232"/>
      <c r="AZ29" s="232"/>
      <c r="BA29" s="232"/>
      <c r="BB29" s="232"/>
      <c r="BC29" s="232"/>
      <c r="BD29" s="232"/>
      <c r="BE29" s="232"/>
      <c r="BF29" s="232"/>
      <c r="BG29" s="232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</row>
    <row r="30" spans="1:108" s="230" customFormat="1" x14ac:dyDescent="0.2">
      <c r="A30" s="229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31"/>
      <c r="Z30" s="231"/>
      <c r="AA30" s="231"/>
      <c r="AB30" s="231"/>
      <c r="AC30" s="231"/>
      <c r="AD30" s="231"/>
      <c r="AE30" s="231"/>
      <c r="AF30" s="231"/>
      <c r="AG30" s="231"/>
      <c r="AH30" s="231"/>
      <c r="AI30" s="231"/>
      <c r="AJ30" s="231"/>
      <c r="AK30" s="231"/>
      <c r="AL30" s="231"/>
      <c r="AM30" s="231"/>
      <c r="AN30" s="231"/>
      <c r="AO30" s="231"/>
      <c r="AP30" s="231"/>
      <c r="AQ30" s="231"/>
      <c r="AR30" s="231"/>
      <c r="AS30" s="231"/>
      <c r="AT30" s="231"/>
      <c r="AU30" s="231"/>
      <c r="AV30" s="231"/>
      <c r="AW30" s="231"/>
      <c r="AX30" s="231"/>
      <c r="AY30" s="232"/>
      <c r="AZ30" s="232"/>
      <c r="BA30" s="232"/>
      <c r="BB30" s="232"/>
      <c r="BC30" s="232"/>
      <c r="BD30" s="232"/>
      <c r="BE30" s="232"/>
      <c r="BF30" s="232"/>
      <c r="BG30" s="232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</row>
  </sheetData>
  <customSheetViews>
    <customSheetView guid="{E44E71C3-F2DB-4787-90CC-B0F1BDA00262}" scale="75" showPageBreaks="1" printArea="1" view="pageBreakPreview">
      <pane xSplit="1" ySplit="8" topLeftCell="AB9" activePane="bottomRight" state="frozen"/>
      <selection pane="bottomRight" activeCell="BC1" sqref="BC1:BC3"/>
      <colBreaks count="2" manualBreakCount="2">
        <brk id="26" max="1048575" man="1"/>
        <brk id="78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&amp;C&amp;"Arial,Bold"&amp;11Borough of Buena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P6" activePane="bottomRight" state="frozen"/>
      <selection pane="bottomRight" activeCell="A9" sqref="A9:XFD9"/>
      <colBreaks count="2" manualBreakCount="2">
        <brk id="26" max="1048575" man="1"/>
        <brk id="78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&amp;C&amp;"Arial,Bold"&amp;11Borough of Buena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P6" activePane="bottomRight" state="frozen"/>
      <selection pane="bottomRight" activeCell="AR12" sqref="AR12"/>
      <colBreaks count="2" manualBreakCount="2">
        <brk id="26" max="1048575" man="1"/>
        <brk id="54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&amp;C&amp;"Arial,Bold"&amp;11Borough of Buena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P6" activePane="bottomRight" state="frozen"/>
      <selection pane="bottomRight" activeCell="AR12" sqref="AR12"/>
      <colBreaks count="2" manualBreakCount="2">
        <brk id="26" max="1048575" man="1"/>
        <brk id="54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&amp;C&amp;"Arial,Bold"&amp;11Borough of Buena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P6" activePane="bottomRight" state="frozen"/>
      <selection pane="bottomRight" activeCell="A9" sqref="A9:XFD9"/>
      <colBreaks count="2" manualBreakCount="2">
        <brk id="26" max="1048575" man="1"/>
        <brk id="78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&amp;C&amp;"Arial,Bold"&amp;11Borough of Buena
General Election - November 3, 2015
Prepared by the Office of Edward P. McGettigan, Atlantic County Clerk</oddHeader>
        <oddFooter>&amp;R&amp;11Page &amp;P</oddFooter>
      </headerFooter>
    </customSheetView>
  </customSheetViews>
  <mergeCells count="6">
    <mergeCell ref="AU5:AW5"/>
    <mergeCell ref="C5:Q5"/>
    <mergeCell ref="S5:AC5"/>
    <mergeCell ref="AE5:AG5"/>
    <mergeCell ref="AI5:AK5"/>
    <mergeCell ref="AM5:AS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&amp;C&amp;"Arial,Bold"&amp;11Borough of Buena
General Election - November 6, 2018
Prepared by the Office of Edward P. McGettigan, Atlantic County Clerk</oddHeader>
    <oddFooter>&amp;R&amp;11Page &amp;P</oddFooter>
  </headerFooter>
  <colBreaks count="2" manualBreakCount="2">
    <brk id="29" max="18" man="1"/>
    <brk id="64" max="1048575" man="1"/>
  </colBreaks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DP25"/>
  <sheetViews>
    <sheetView zoomScale="75" zoomScaleNormal="75" zoomScaleSheetLayoutView="75" workbookViewId="0">
      <pane xSplit="1" ySplit="7" topLeftCell="B8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" style="33" customWidth="1"/>
    <col min="4" max="4" width="1.7109375" style="33" customWidth="1"/>
    <col min="5" max="5" width="11" style="33" customWidth="1"/>
    <col min="6" max="6" width="1.7109375" style="33" customWidth="1"/>
    <col min="7" max="7" width="15.85546875" style="33" customWidth="1"/>
    <col min="8" max="8" width="1.7109375" style="33" customWidth="1"/>
    <col min="9" max="9" width="12" style="33" customWidth="1"/>
    <col min="10" max="10" width="1.7109375" style="33" customWidth="1"/>
    <col min="11" max="11" width="15.85546875" style="33" customWidth="1"/>
    <col min="12" max="12" width="1.7109375" style="33" customWidth="1"/>
    <col min="13" max="13" width="12" style="33" customWidth="1"/>
    <col min="14" max="14" width="1.7109375" style="33" customWidth="1"/>
    <col min="15" max="15" width="12" style="33" customWidth="1"/>
    <col min="16" max="16" width="1.7109375" style="33" customWidth="1"/>
    <col min="17" max="17" width="14.140625" style="33" customWidth="1"/>
    <col min="18" max="18" width="1.7109375" style="33" customWidth="1"/>
    <col min="19" max="19" width="12.85546875" style="33" customWidth="1"/>
    <col min="20" max="20" width="1.7109375" style="33" customWidth="1"/>
    <col min="21" max="21" width="12.1406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2" style="33" customWidth="1"/>
    <col min="28" max="28" width="1.7109375" style="33" customWidth="1"/>
    <col min="29" max="29" width="11.85546875" style="33" customWidth="1"/>
    <col min="30" max="30" width="1.7109375" style="33" customWidth="1"/>
    <col min="31" max="31" width="12.140625" style="33" customWidth="1"/>
    <col min="32" max="32" width="1.7109375" style="33" customWidth="1"/>
    <col min="33" max="33" width="12.85546875" style="33" customWidth="1"/>
    <col min="34" max="34" width="1.7109375" style="33" customWidth="1"/>
    <col min="35" max="35" width="12.140625" style="33" customWidth="1"/>
    <col min="36" max="36" width="1.7109375" style="33" customWidth="1"/>
    <col min="37" max="37" width="12.140625" style="33" customWidth="1"/>
    <col min="38" max="38" width="1.7109375" style="33" customWidth="1"/>
    <col min="39" max="39" width="10.7109375" style="33" customWidth="1"/>
    <col min="40" max="40" width="1.7109375" style="33" customWidth="1"/>
    <col min="41" max="41" width="12.140625" style="33" customWidth="1"/>
    <col min="42" max="42" width="1.7109375" style="33" customWidth="1"/>
    <col min="43" max="43" width="12.140625" style="33" customWidth="1"/>
    <col min="44" max="44" width="1.7109375" style="33" customWidth="1"/>
    <col min="45" max="45" width="12.140625" style="33" customWidth="1"/>
    <col min="46" max="46" width="1.7109375" style="33" customWidth="1"/>
    <col min="47" max="47" width="12.140625" style="33" customWidth="1"/>
    <col min="48" max="48" width="1.7109375" style="33" customWidth="1"/>
    <col min="49" max="49" width="12.140625" style="33" customWidth="1"/>
    <col min="50" max="50" width="1.7109375" style="33" customWidth="1"/>
    <col min="51" max="51" width="12.140625" style="33" customWidth="1"/>
    <col min="52" max="52" width="1.7109375" style="33" customWidth="1"/>
    <col min="53" max="53" width="12.140625" style="33" customWidth="1"/>
    <col min="54" max="54" width="1.7109375" style="33" customWidth="1"/>
    <col min="55" max="55" width="12.140625" style="33" customWidth="1"/>
    <col min="56" max="56" width="1.7109375" style="33" customWidth="1"/>
    <col min="57" max="57" width="15.28515625" style="33" customWidth="1"/>
    <col min="58" max="58" width="1.7109375" style="33" customWidth="1"/>
    <col min="59" max="59" width="11.28515625" style="33" customWidth="1"/>
    <col min="60" max="60" width="1.7109375" style="33" customWidth="1"/>
    <col min="61" max="61" width="11.28515625" style="33" customWidth="1"/>
    <col min="62" max="62" width="1.7109375" style="33" customWidth="1"/>
    <col min="63" max="63" width="12" style="1" customWidth="1"/>
    <col min="64" max="64" width="1.7109375" style="1" customWidth="1"/>
    <col min="65" max="65" width="11.85546875" style="1" customWidth="1"/>
    <col min="66" max="66" width="1.7109375" style="1" customWidth="1"/>
    <col min="67" max="67" width="11.85546875" style="1" customWidth="1"/>
    <col min="68" max="68" width="1.7109375" style="1" customWidth="1"/>
    <col min="69" max="69" width="11.140625" style="1" bestFit="1" customWidth="1"/>
    <col min="70" max="70" width="1.7109375" style="1" customWidth="1"/>
    <col min="71" max="71" width="11.85546875" style="1" customWidth="1"/>
    <col min="72" max="72" width="1.7109375" style="19" customWidth="1"/>
    <col min="73" max="73" width="9.140625" style="19"/>
    <col min="74" max="74" width="1.7109375" style="19" customWidth="1"/>
    <col min="75" max="75" width="9.140625" style="19"/>
    <col min="76" max="76" width="1.7109375" style="19" customWidth="1"/>
    <col min="77" max="77" width="9.140625" style="19"/>
    <col min="78" max="78" width="1.7109375" style="19" customWidth="1"/>
    <col min="79" max="79" width="9.140625" style="19"/>
    <col min="80" max="80" width="1.7109375" style="19" customWidth="1"/>
    <col min="81" max="81" width="9.140625" style="19"/>
    <col min="82" max="82" width="1.7109375" style="19" customWidth="1"/>
    <col min="83" max="83" width="9.140625" style="19"/>
    <col min="84" max="84" width="1.7109375" style="19" customWidth="1"/>
    <col min="85" max="85" width="9.140625" style="19"/>
    <col min="86" max="86" width="1.7109375" style="19" customWidth="1"/>
    <col min="87" max="87" width="9.140625" style="19"/>
    <col min="88" max="88" width="1.7109375" style="19" customWidth="1"/>
    <col min="89" max="89" width="9.140625" style="19"/>
    <col min="90" max="90" width="1.7109375" style="19" customWidth="1"/>
    <col min="91" max="120" width="9.140625" style="19"/>
    <col min="121" max="16384" width="9.140625" style="11"/>
  </cols>
  <sheetData>
    <row r="2" spans="1:120" x14ac:dyDescent="0.2">
      <c r="BA2" s="11"/>
      <c r="BB2" s="11"/>
      <c r="BC2" s="11"/>
      <c r="BD2" s="11"/>
      <c r="BE2" s="11"/>
    </row>
    <row r="3" spans="1:120" s="10" customFormat="1" ht="15" x14ac:dyDescent="0.25">
      <c r="A3" s="89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457" t="s">
        <v>142</v>
      </c>
      <c r="BB3" s="457"/>
      <c r="BC3" s="457"/>
      <c r="BD3" s="457"/>
      <c r="BE3" s="457"/>
      <c r="BF3" s="153"/>
      <c r="BG3" s="153"/>
      <c r="BH3" s="153"/>
      <c r="BI3" s="153"/>
      <c r="BJ3" s="153"/>
      <c r="BK3" s="6"/>
      <c r="BL3" s="6"/>
      <c r="BM3" s="6"/>
      <c r="BN3" s="6"/>
      <c r="BO3" s="6"/>
      <c r="BP3" s="6"/>
      <c r="BQ3" s="6"/>
      <c r="BR3" s="6"/>
      <c r="BS3" s="6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</row>
    <row r="4" spans="1:120" s="372" customFormat="1" ht="13.5" customHeight="1" x14ac:dyDescent="0.25">
      <c r="A4" s="362"/>
      <c r="C4" s="154"/>
      <c r="D4" s="154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457" t="s">
        <v>142</v>
      </c>
      <c r="AV4" s="457"/>
      <c r="AW4" s="457"/>
      <c r="AX4" s="457"/>
      <c r="AY4" s="457"/>
      <c r="AZ4" s="323"/>
      <c r="BA4" s="466" t="s">
        <v>237</v>
      </c>
      <c r="BB4" s="466"/>
      <c r="BC4" s="466"/>
      <c r="BD4" s="466"/>
      <c r="BE4" s="466"/>
      <c r="BF4" s="310"/>
      <c r="BG4" s="137"/>
      <c r="BH4" s="310"/>
      <c r="BI4" s="137"/>
      <c r="BJ4" s="137"/>
      <c r="BK4" s="363"/>
      <c r="BL4" s="363"/>
      <c r="BM4" s="363"/>
      <c r="BN4" s="363"/>
      <c r="BO4" s="363"/>
      <c r="BP4" s="363"/>
      <c r="BQ4" s="363"/>
      <c r="BR4" s="363"/>
      <c r="BS4" s="363"/>
      <c r="BT4" s="373"/>
      <c r="BU4" s="373"/>
      <c r="BV4" s="373"/>
      <c r="BW4" s="373"/>
      <c r="BX4" s="373"/>
      <c r="BY4" s="373"/>
      <c r="BZ4" s="373"/>
      <c r="CA4" s="373"/>
      <c r="CB4" s="373"/>
      <c r="CC4" s="373"/>
      <c r="CD4" s="373"/>
      <c r="CE4" s="373"/>
      <c r="CF4" s="373"/>
      <c r="CG4" s="37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  <c r="DC4" s="373"/>
      <c r="DD4" s="373"/>
      <c r="DE4" s="373"/>
      <c r="DF4" s="373"/>
      <c r="DG4" s="373"/>
      <c r="DH4" s="373"/>
      <c r="DI4" s="373"/>
      <c r="DJ4" s="373"/>
      <c r="DK4" s="373"/>
      <c r="DL4" s="373"/>
      <c r="DM4" s="373"/>
      <c r="DN4" s="373"/>
      <c r="DO4" s="373"/>
      <c r="DP4" s="373"/>
    </row>
    <row r="5" spans="1:120" s="375" customFormat="1" ht="13.5" customHeight="1" thickBot="1" x14ac:dyDescent="0.3">
      <c r="A5" s="374"/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455"/>
      <c r="AE5" s="470" t="s">
        <v>80</v>
      </c>
      <c r="AF5" s="470"/>
      <c r="AG5" s="470"/>
      <c r="AH5" s="376"/>
      <c r="AI5" s="471" t="s">
        <v>185</v>
      </c>
      <c r="AJ5" s="471"/>
      <c r="AK5" s="471"/>
      <c r="AL5" s="376"/>
      <c r="AM5" s="471" t="s">
        <v>110</v>
      </c>
      <c r="AN5" s="471"/>
      <c r="AO5" s="471"/>
      <c r="AP5" s="471"/>
      <c r="AQ5" s="471"/>
      <c r="AR5" s="471"/>
      <c r="AS5" s="471"/>
      <c r="AT5" s="377"/>
      <c r="AU5" s="468" t="s">
        <v>237</v>
      </c>
      <c r="AV5" s="468"/>
      <c r="AW5" s="468"/>
      <c r="AX5" s="468"/>
      <c r="AY5" s="468"/>
      <c r="AZ5" s="376"/>
      <c r="BA5" s="467" t="s">
        <v>245</v>
      </c>
      <c r="BB5" s="467"/>
      <c r="BC5" s="467"/>
      <c r="BD5" s="467"/>
      <c r="BE5" s="467"/>
      <c r="BF5" s="377"/>
      <c r="BG5" s="457" t="s">
        <v>196</v>
      </c>
      <c r="BH5" s="457"/>
      <c r="BI5" s="457"/>
      <c r="BJ5" s="175"/>
      <c r="BK5" s="378"/>
      <c r="BL5" s="378"/>
      <c r="BM5" s="378"/>
      <c r="BN5" s="378"/>
      <c r="BO5" s="378"/>
      <c r="BP5" s="378"/>
      <c r="BQ5" s="378"/>
      <c r="BR5" s="378"/>
      <c r="BS5" s="378"/>
      <c r="BT5" s="379"/>
      <c r="BU5" s="379"/>
      <c r="BV5" s="379"/>
      <c r="BW5" s="379"/>
      <c r="BX5" s="379"/>
      <c r="BY5" s="379"/>
      <c r="BZ5" s="379"/>
      <c r="CA5" s="379"/>
      <c r="CB5" s="379"/>
      <c r="CC5" s="379"/>
      <c r="CD5" s="379"/>
      <c r="CE5" s="379"/>
      <c r="CF5" s="379"/>
      <c r="CG5" s="379"/>
      <c r="CH5" s="379"/>
      <c r="CI5" s="379"/>
      <c r="CJ5" s="379"/>
      <c r="CK5" s="379"/>
      <c r="CL5" s="379"/>
      <c r="CM5" s="379"/>
      <c r="CN5" s="379"/>
      <c r="CO5" s="379"/>
      <c r="CP5" s="379"/>
      <c r="CQ5" s="379"/>
      <c r="CR5" s="379"/>
      <c r="CS5" s="379"/>
      <c r="CT5" s="379"/>
      <c r="CU5" s="379"/>
      <c r="CV5" s="379"/>
      <c r="CW5" s="379"/>
      <c r="CX5" s="379"/>
      <c r="CY5" s="379"/>
      <c r="CZ5" s="379"/>
      <c r="DA5" s="379"/>
      <c r="DB5" s="379"/>
      <c r="DC5" s="379"/>
      <c r="DD5" s="379"/>
      <c r="DE5" s="379"/>
      <c r="DF5" s="379"/>
      <c r="DG5" s="379"/>
      <c r="DH5" s="379"/>
      <c r="DI5" s="379"/>
      <c r="DJ5" s="379"/>
      <c r="DK5" s="379"/>
      <c r="DL5" s="379"/>
      <c r="DM5" s="379"/>
      <c r="DN5" s="379"/>
      <c r="DO5" s="379"/>
      <c r="DP5" s="379"/>
    </row>
    <row r="6" spans="1:120" s="381" customFormat="1" ht="13.5" customHeight="1" x14ac:dyDescent="0.2">
      <c r="A6" s="256"/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455"/>
      <c r="AE6" s="172"/>
      <c r="AF6" s="173"/>
      <c r="AG6" s="174"/>
      <c r="AH6" s="267"/>
      <c r="AI6" s="386"/>
      <c r="AJ6" s="387"/>
      <c r="AK6" s="388" t="str">
        <f>+'Lead Sheet '!AO4</f>
        <v>Barbara</v>
      </c>
      <c r="AL6" s="267"/>
      <c r="AM6" s="389" t="s">
        <v>107</v>
      </c>
      <c r="AN6" s="390"/>
      <c r="AO6" s="390" t="s">
        <v>107</v>
      </c>
      <c r="AP6" s="390"/>
      <c r="AQ6" s="390"/>
      <c r="AR6" s="387"/>
      <c r="AS6" s="391"/>
      <c r="AT6" s="214"/>
      <c r="AU6" s="392"/>
      <c r="AV6" s="393"/>
      <c r="AW6" s="393"/>
      <c r="AX6" s="393"/>
      <c r="AY6" s="394"/>
      <c r="AZ6" s="214"/>
      <c r="BA6" s="395"/>
      <c r="BB6" s="390"/>
      <c r="BC6" s="396"/>
      <c r="BD6" s="396"/>
      <c r="BE6" s="397"/>
      <c r="BF6" s="398"/>
      <c r="BG6" s="172"/>
      <c r="BH6" s="173"/>
      <c r="BI6" s="174"/>
      <c r="BJ6" s="262"/>
      <c r="BK6" s="399"/>
      <c r="BL6" s="400"/>
      <c r="BM6" s="401"/>
      <c r="BN6" s="400"/>
      <c r="BO6" s="401"/>
      <c r="BP6" s="400"/>
      <c r="BQ6" s="401"/>
      <c r="BR6" s="400"/>
      <c r="BS6" s="402"/>
      <c r="BT6" s="269"/>
      <c r="BU6" s="269"/>
      <c r="BV6" s="269"/>
      <c r="BW6" s="269"/>
      <c r="BX6" s="269"/>
      <c r="BY6" s="269"/>
      <c r="BZ6" s="269"/>
      <c r="CA6" s="269"/>
      <c r="CB6" s="269"/>
      <c r="CC6" s="269"/>
      <c r="CD6" s="269"/>
      <c r="CE6" s="269"/>
      <c r="CF6" s="269"/>
      <c r="CG6" s="269"/>
      <c r="CH6" s="269"/>
      <c r="CI6" s="269"/>
      <c r="CJ6" s="269"/>
      <c r="CK6" s="269"/>
      <c r="CL6" s="269"/>
      <c r="CM6" s="269"/>
      <c r="CN6" s="269"/>
      <c r="CO6" s="269"/>
      <c r="CP6" s="269"/>
      <c r="CQ6" s="269"/>
      <c r="CR6" s="269"/>
      <c r="CS6" s="269"/>
      <c r="CT6" s="269"/>
      <c r="CU6" s="269"/>
      <c r="CV6" s="269"/>
      <c r="CW6" s="269"/>
      <c r="CX6" s="269"/>
      <c r="CY6" s="269"/>
      <c r="CZ6" s="269"/>
      <c r="DA6" s="269"/>
      <c r="DB6" s="269"/>
      <c r="DC6" s="269"/>
      <c r="DD6" s="269"/>
      <c r="DE6" s="269"/>
      <c r="DF6" s="269"/>
      <c r="DG6" s="269"/>
      <c r="DH6" s="269"/>
      <c r="DI6" s="269"/>
      <c r="DJ6" s="269"/>
      <c r="DK6" s="269"/>
      <c r="DL6" s="269"/>
      <c r="DM6" s="269"/>
      <c r="DN6" s="269"/>
      <c r="DO6" s="269"/>
      <c r="DP6" s="269"/>
    </row>
    <row r="7" spans="1:120" s="10" customFormat="1" ht="13.5" customHeight="1" x14ac:dyDescent="0.25">
      <c r="A7" s="89"/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454"/>
      <c r="AG7" s="97" t="str">
        <f>+'Lead Sheet '!AG5</f>
        <v>Celeste</v>
      </c>
      <c r="AH7" s="282"/>
      <c r="AI7" s="106" t="str">
        <f>+'Lead Sheet '!AM5</f>
        <v>James</v>
      </c>
      <c r="AJ7" s="282"/>
      <c r="AK7" s="107" t="str">
        <f>+'Lead Sheet '!AO5</f>
        <v>BUTTERHOF</v>
      </c>
      <c r="AL7" s="282"/>
      <c r="AM7" s="106" t="s">
        <v>118</v>
      </c>
      <c r="AN7" s="95"/>
      <c r="AO7" s="95" t="s">
        <v>118</v>
      </c>
      <c r="AP7" s="95"/>
      <c r="AQ7" s="95" t="s">
        <v>227</v>
      </c>
      <c r="AR7" s="282"/>
      <c r="AS7" s="107" t="s">
        <v>229</v>
      </c>
      <c r="AT7" s="95"/>
      <c r="AU7" s="166" t="s">
        <v>231</v>
      </c>
      <c r="AV7" s="95"/>
      <c r="AW7" s="152" t="s">
        <v>233</v>
      </c>
      <c r="AX7" s="95"/>
      <c r="AY7" s="167" t="s">
        <v>235</v>
      </c>
      <c r="AZ7" s="95"/>
      <c r="BA7" s="166" t="s">
        <v>238</v>
      </c>
      <c r="BB7" s="95"/>
      <c r="BC7" s="304" t="s">
        <v>121</v>
      </c>
      <c r="BD7" s="279"/>
      <c r="BE7" s="207" t="s">
        <v>241</v>
      </c>
      <c r="BF7" s="42"/>
      <c r="BG7" s="155"/>
      <c r="BH7" s="137"/>
      <c r="BI7" s="156"/>
      <c r="BJ7" s="190"/>
      <c r="BK7" s="78" t="s">
        <v>24</v>
      </c>
      <c r="BL7" s="76"/>
      <c r="BM7" s="83" t="s">
        <v>24</v>
      </c>
      <c r="BN7" s="76"/>
      <c r="BO7" s="83" t="s">
        <v>24</v>
      </c>
      <c r="BP7" s="76"/>
      <c r="BQ7" s="83" t="s">
        <v>24</v>
      </c>
      <c r="BR7" s="76"/>
      <c r="BS7" s="84" t="s">
        <v>24</v>
      </c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</row>
    <row r="8" spans="1:120" s="10" customFormat="1" ht="13.5" customHeight="1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454"/>
      <c r="AG8" s="97" t="str">
        <f>+'Lead Sheet '!AG6</f>
        <v>FERNANDEZ</v>
      </c>
      <c r="AH8" s="282"/>
      <c r="AI8" s="106" t="str">
        <f>+'Lead Sheet '!AM6</f>
        <v>BERTINO</v>
      </c>
      <c r="AJ8" s="282"/>
      <c r="AK8" s="107" t="str">
        <f>+'Lead Sheet '!AO6</f>
        <v>RHEAULT</v>
      </c>
      <c r="AL8" s="282"/>
      <c r="AM8" s="106" t="s">
        <v>119</v>
      </c>
      <c r="AN8" s="95"/>
      <c r="AO8" s="95" t="s">
        <v>119</v>
      </c>
      <c r="AP8" s="95"/>
      <c r="AQ8" s="95" t="s">
        <v>228</v>
      </c>
      <c r="AR8" s="282"/>
      <c r="AS8" s="107" t="s">
        <v>230</v>
      </c>
      <c r="AT8" s="95"/>
      <c r="AU8" s="166" t="s">
        <v>232</v>
      </c>
      <c r="AV8" s="95"/>
      <c r="AW8" s="152" t="s">
        <v>234</v>
      </c>
      <c r="AX8" s="95"/>
      <c r="AY8" s="167" t="s">
        <v>236</v>
      </c>
      <c r="AZ8" s="95"/>
      <c r="BA8" s="166" t="s">
        <v>239</v>
      </c>
      <c r="BB8" s="95"/>
      <c r="BC8" s="364" t="s">
        <v>240</v>
      </c>
      <c r="BD8" s="209"/>
      <c r="BE8" s="208" t="s">
        <v>242</v>
      </c>
      <c r="BF8" s="42"/>
      <c r="BG8" s="315" t="s">
        <v>106</v>
      </c>
      <c r="BH8" s="143"/>
      <c r="BI8" s="316" t="s">
        <v>107</v>
      </c>
      <c r="BJ8" s="190"/>
      <c r="BK8" s="78" t="s">
        <v>83</v>
      </c>
      <c r="BL8" s="76"/>
      <c r="BM8" s="83" t="s">
        <v>84</v>
      </c>
      <c r="BN8" s="76"/>
      <c r="BO8" s="83" t="s">
        <v>85</v>
      </c>
      <c r="BP8" s="76"/>
      <c r="BQ8" s="83" t="s">
        <v>86</v>
      </c>
      <c r="BR8" s="76"/>
      <c r="BS8" s="84" t="s">
        <v>87</v>
      </c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</row>
    <row r="9" spans="1:120" s="10" customFormat="1" ht="13.5" customHeight="1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454"/>
      <c r="AG9" s="97" t="str">
        <f>+'Lead Sheet '!AG7</f>
        <v>Democratic</v>
      </c>
      <c r="AH9" s="282"/>
      <c r="AI9" s="106" t="str">
        <f>+'Lead Sheet '!AM7</f>
        <v>Republican</v>
      </c>
      <c r="AJ9" s="282"/>
      <c r="AK9" s="107" t="str">
        <f>+'Lead Sheet '!AO7</f>
        <v>Democratic</v>
      </c>
      <c r="AL9" s="282"/>
      <c r="AM9" s="106" t="s">
        <v>93</v>
      </c>
      <c r="AN9" s="95"/>
      <c r="AO9" s="95" t="s">
        <v>93</v>
      </c>
      <c r="AP9" s="95"/>
      <c r="AQ9" s="96" t="s">
        <v>99</v>
      </c>
      <c r="AR9" s="96">
        <f>+'Lead Sheet '!AR7</f>
        <v>0</v>
      </c>
      <c r="AS9" s="97" t="s">
        <v>99</v>
      </c>
      <c r="AT9" s="95"/>
      <c r="AU9" s="166"/>
      <c r="AV9" s="95"/>
      <c r="AW9" s="152"/>
      <c r="AX9" s="95"/>
      <c r="AY9" s="167"/>
      <c r="AZ9" s="95"/>
      <c r="BA9" s="166"/>
      <c r="BB9" s="95"/>
      <c r="BC9" s="95"/>
      <c r="BD9" s="209"/>
      <c r="BE9" s="207" t="s">
        <v>243</v>
      </c>
      <c r="BF9" s="42"/>
      <c r="BG9" s="296"/>
      <c r="BH9" s="295"/>
      <c r="BI9" s="297"/>
      <c r="BJ9" s="190"/>
      <c r="BK9" s="78" t="s">
        <v>89</v>
      </c>
      <c r="BL9" s="76"/>
      <c r="BM9" s="83" t="s">
        <v>90</v>
      </c>
      <c r="BN9" s="76"/>
      <c r="BO9" s="83" t="s">
        <v>89</v>
      </c>
      <c r="BP9" s="76"/>
      <c r="BQ9" s="83" t="s">
        <v>89</v>
      </c>
      <c r="BR9" s="76"/>
      <c r="BS9" s="84" t="s">
        <v>89</v>
      </c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</row>
    <row r="10" spans="1:120" s="10" customFormat="1" ht="13.5" customHeight="1" thickBot="1" x14ac:dyDescent="0.25">
      <c r="A10" s="89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82"/>
      <c r="AM10" s="108"/>
      <c r="AN10" s="100"/>
      <c r="AO10" s="100"/>
      <c r="AP10" s="100"/>
      <c r="AQ10" s="100"/>
      <c r="AR10" s="281"/>
      <c r="AS10" s="121"/>
      <c r="AT10" s="95"/>
      <c r="AU10" s="179"/>
      <c r="AV10" s="100"/>
      <c r="AW10" s="181"/>
      <c r="AX10" s="100"/>
      <c r="AY10" s="182"/>
      <c r="AZ10" s="95"/>
      <c r="BA10" s="179"/>
      <c r="BB10" s="100"/>
      <c r="BC10" s="380"/>
      <c r="BD10" s="210"/>
      <c r="BE10" s="211" t="s">
        <v>244</v>
      </c>
      <c r="BF10" s="365"/>
      <c r="BG10" s="337"/>
      <c r="BH10" s="330"/>
      <c r="BI10" s="346"/>
      <c r="BJ10" s="190"/>
      <c r="BK10" s="80"/>
      <c r="BL10" s="85"/>
      <c r="BM10" s="85"/>
      <c r="BN10" s="85"/>
      <c r="BO10" s="85"/>
      <c r="BP10" s="85"/>
      <c r="BQ10" s="85"/>
      <c r="BR10" s="85"/>
      <c r="BS10" s="86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</row>
    <row r="11" spans="1:120" s="22" customFormat="1" x14ac:dyDescent="0.2">
      <c r="A11" s="9" t="s">
        <v>53</v>
      </c>
      <c r="C11" s="18">
        <f>239+189</f>
        <v>428</v>
      </c>
      <c r="D11" s="19"/>
      <c r="E11" s="18">
        <f>131+107</f>
        <v>238</v>
      </c>
      <c r="F11" s="19"/>
      <c r="G11" s="18">
        <f>10+5</f>
        <v>15</v>
      </c>
      <c r="H11" s="19"/>
      <c r="I11" s="18">
        <f>3+1</f>
        <v>4</v>
      </c>
      <c r="J11" s="19"/>
      <c r="K11" s="18">
        <v>6</v>
      </c>
      <c r="L11" s="19"/>
      <c r="M11" s="62">
        <v>4</v>
      </c>
      <c r="N11" s="19"/>
      <c r="O11" s="18">
        <v>1</v>
      </c>
      <c r="P11" s="19"/>
      <c r="Q11" s="18">
        <v>0</v>
      </c>
      <c r="R11" s="19"/>
      <c r="S11" s="18">
        <f>202+160</f>
        <v>362</v>
      </c>
      <c r="T11" s="19"/>
      <c r="U11" s="18">
        <f>183+145</f>
        <v>328</v>
      </c>
      <c r="V11" s="19"/>
      <c r="W11" s="18">
        <v>0</v>
      </c>
      <c r="X11" s="19"/>
      <c r="Y11" s="18">
        <f>2+1</f>
        <v>3</v>
      </c>
      <c r="Z11" s="19"/>
      <c r="AA11" s="18">
        <f>2+5</f>
        <v>7</v>
      </c>
      <c r="AB11" s="19"/>
      <c r="AC11" s="18">
        <f>1+1</f>
        <v>2</v>
      </c>
      <c r="AD11" s="19"/>
      <c r="AE11" s="18">
        <f>231+189</f>
        <v>420</v>
      </c>
      <c r="AF11" s="19"/>
      <c r="AG11" s="18">
        <f>150+115</f>
        <v>265</v>
      </c>
      <c r="AH11" s="19"/>
      <c r="AI11" s="18">
        <f>223+190</f>
        <v>413</v>
      </c>
      <c r="AJ11" s="19"/>
      <c r="AK11" s="18">
        <f>158+117</f>
        <v>275</v>
      </c>
      <c r="AL11" s="19"/>
      <c r="AM11" s="18"/>
      <c r="AN11" s="19"/>
      <c r="AO11" s="18"/>
      <c r="AP11" s="19"/>
      <c r="AQ11" s="18">
        <f>207+173</f>
        <v>380</v>
      </c>
      <c r="AR11" s="19"/>
      <c r="AS11" s="18">
        <f>208+179</f>
        <v>387</v>
      </c>
      <c r="AT11" s="19"/>
      <c r="AU11" s="18">
        <f>178+159</f>
        <v>337</v>
      </c>
      <c r="AV11" s="19"/>
      <c r="AW11" s="18">
        <f>164+146</f>
        <v>310</v>
      </c>
      <c r="AX11" s="19"/>
      <c r="AY11" s="18">
        <f>190+178</f>
        <v>368</v>
      </c>
      <c r="AZ11" s="19"/>
      <c r="BA11" s="18">
        <f>169+136</f>
        <v>305</v>
      </c>
      <c r="BB11" s="19"/>
      <c r="BC11" s="18">
        <f>36+27</f>
        <v>63</v>
      </c>
      <c r="BD11" s="19"/>
      <c r="BE11" s="18">
        <f>81+75</f>
        <v>156</v>
      </c>
      <c r="BF11" s="19"/>
      <c r="BG11" s="18">
        <f>134+103</f>
        <v>237</v>
      </c>
      <c r="BH11" s="19"/>
      <c r="BI11" s="18">
        <f>198+168</f>
        <v>366</v>
      </c>
      <c r="BJ11" s="19"/>
      <c r="BK11" s="18">
        <f>393+318</f>
        <v>711</v>
      </c>
      <c r="BL11" s="1"/>
      <c r="BM11" s="18">
        <v>263</v>
      </c>
      <c r="BO11" s="18">
        <v>49</v>
      </c>
      <c r="BP11" s="1"/>
      <c r="BQ11" s="18"/>
      <c r="BS11" s="55">
        <f>+SUM(BK11:BQ11)</f>
        <v>1023</v>
      </c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</row>
    <row r="12" spans="1:120" x14ac:dyDescent="0.2">
      <c r="A12" s="9" t="s">
        <v>54</v>
      </c>
      <c r="C12" s="16">
        <f>184+265</f>
        <v>449</v>
      </c>
      <c r="D12" s="19"/>
      <c r="E12" s="16">
        <f>106+117</f>
        <v>223</v>
      </c>
      <c r="F12" s="19"/>
      <c r="G12" s="16">
        <f>3+2</f>
        <v>5</v>
      </c>
      <c r="H12" s="19"/>
      <c r="I12" s="16">
        <f>1+2</f>
        <v>3</v>
      </c>
      <c r="J12" s="19"/>
      <c r="K12" s="16">
        <f>1+2</f>
        <v>3</v>
      </c>
      <c r="L12" s="19"/>
      <c r="M12" s="16">
        <f>1+2</f>
        <v>3</v>
      </c>
      <c r="N12" s="19"/>
      <c r="O12" s="16">
        <v>0</v>
      </c>
      <c r="P12" s="19"/>
      <c r="Q12" s="16">
        <v>1</v>
      </c>
      <c r="R12" s="19"/>
      <c r="S12" s="16">
        <f>160+211</f>
        <v>371</v>
      </c>
      <c r="T12" s="19"/>
      <c r="U12" s="16">
        <f>137+174</f>
        <v>311</v>
      </c>
      <c r="V12" s="19"/>
      <c r="W12" s="16">
        <f>2+1</f>
        <v>3</v>
      </c>
      <c r="X12" s="19"/>
      <c r="Y12" s="16">
        <v>1</v>
      </c>
      <c r="Z12" s="19"/>
      <c r="AA12" s="16">
        <f>1+3</f>
        <v>4</v>
      </c>
      <c r="AB12" s="19"/>
      <c r="AC12" s="16">
        <v>1</v>
      </c>
      <c r="AD12" s="19"/>
      <c r="AE12" s="16">
        <f>186+253</f>
        <v>439</v>
      </c>
      <c r="AF12" s="19"/>
      <c r="AG12" s="16">
        <f>107+128</f>
        <v>235</v>
      </c>
      <c r="AH12" s="19"/>
      <c r="AI12" s="16">
        <f>177+255</f>
        <v>432</v>
      </c>
      <c r="AJ12" s="19"/>
      <c r="AK12" s="16">
        <f>112+131</f>
        <v>243</v>
      </c>
      <c r="AL12" s="19"/>
      <c r="AM12" s="16"/>
      <c r="AN12" s="19"/>
      <c r="AO12" s="16"/>
      <c r="AP12" s="19"/>
      <c r="AQ12" s="16">
        <f>177+225</f>
        <v>402</v>
      </c>
      <c r="AR12" s="19"/>
      <c r="AS12" s="16">
        <f>172+229</f>
        <v>401</v>
      </c>
      <c r="AT12" s="19"/>
      <c r="AU12" s="16">
        <f>139+200</f>
        <v>339</v>
      </c>
      <c r="AV12" s="19"/>
      <c r="AW12" s="16">
        <f>136+193</f>
        <v>329</v>
      </c>
      <c r="AX12" s="19"/>
      <c r="AY12" s="16">
        <f>175+221</f>
        <v>396</v>
      </c>
      <c r="AZ12" s="19"/>
      <c r="BA12" s="16">
        <f>114+158</f>
        <v>272</v>
      </c>
      <c r="BB12" s="19"/>
      <c r="BC12" s="16">
        <f>28+33</f>
        <v>61</v>
      </c>
      <c r="BD12" s="19"/>
      <c r="BE12" s="16">
        <f>75+85</f>
        <v>160</v>
      </c>
      <c r="BF12" s="19"/>
      <c r="BG12" s="16">
        <f>103+133</f>
        <v>236</v>
      </c>
      <c r="BH12" s="19"/>
      <c r="BI12" s="16">
        <f>170+215</f>
        <v>385</v>
      </c>
      <c r="BJ12" s="19"/>
      <c r="BK12" s="16">
        <f>305+398</f>
        <v>703</v>
      </c>
      <c r="BM12" s="16"/>
      <c r="BO12" s="16"/>
      <c r="BQ12" s="16"/>
      <c r="BS12" s="55">
        <f>+SUM(BK12:BQ12)</f>
        <v>703</v>
      </c>
    </row>
    <row r="13" spans="1:120" x14ac:dyDescent="0.2">
      <c r="A13" s="9" t="s">
        <v>55</v>
      </c>
      <c r="C13" s="16">
        <f>104+97</f>
        <v>201</v>
      </c>
      <c r="D13" s="19"/>
      <c r="E13" s="16">
        <f>168+154</f>
        <v>322</v>
      </c>
      <c r="F13" s="19"/>
      <c r="G13" s="16">
        <f>4+4</f>
        <v>8</v>
      </c>
      <c r="H13" s="19"/>
      <c r="I13" s="16">
        <v>5</v>
      </c>
      <c r="J13" s="19"/>
      <c r="K13" s="16">
        <f>1+1</f>
        <v>2</v>
      </c>
      <c r="L13" s="19"/>
      <c r="M13" s="16">
        <f>3+2</f>
        <v>5</v>
      </c>
      <c r="N13" s="19"/>
      <c r="O13" s="16">
        <f>1+1</f>
        <v>2</v>
      </c>
      <c r="P13" s="19"/>
      <c r="Q13" s="16">
        <f>2+1</f>
        <v>3</v>
      </c>
      <c r="R13" s="19"/>
      <c r="S13" s="16">
        <f>93+79</f>
        <v>172</v>
      </c>
      <c r="T13" s="19"/>
      <c r="U13" s="16">
        <f>188+180</f>
        <v>368</v>
      </c>
      <c r="V13" s="19"/>
      <c r="W13" s="16">
        <v>1</v>
      </c>
      <c r="X13" s="19"/>
      <c r="Y13" s="16">
        <f>1+2</f>
        <v>3</v>
      </c>
      <c r="Z13" s="19"/>
      <c r="AA13" s="16">
        <v>1</v>
      </c>
      <c r="AB13" s="19"/>
      <c r="AC13" s="16">
        <f>1+4</f>
        <v>5</v>
      </c>
      <c r="AD13" s="19"/>
      <c r="AE13" s="16">
        <f>101+87</f>
        <v>188</v>
      </c>
      <c r="AF13" s="19"/>
      <c r="AG13" s="16">
        <f>178+171</f>
        <v>349</v>
      </c>
      <c r="AH13" s="19"/>
      <c r="AI13" s="16">
        <f>102+91</f>
        <v>193</v>
      </c>
      <c r="AJ13" s="19"/>
      <c r="AK13" s="16">
        <f>173+166</f>
        <v>339</v>
      </c>
      <c r="AL13" s="19"/>
      <c r="AM13" s="16"/>
      <c r="AN13" s="19"/>
      <c r="AO13" s="16"/>
      <c r="AP13" s="19"/>
      <c r="AQ13" s="16">
        <f>202+190</f>
        <v>392</v>
      </c>
      <c r="AR13" s="19"/>
      <c r="AS13" s="16">
        <f>203+183</f>
        <v>386</v>
      </c>
      <c r="AT13" s="19"/>
      <c r="AU13" s="16">
        <f>136+120</f>
        <v>256</v>
      </c>
      <c r="AV13" s="19"/>
      <c r="AW13" s="16">
        <f>117+108</f>
        <v>225</v>
      </c>
      <c r="AX13" s="19"/>
      <c r="AY13" s="16">
        <f>121+114</f>
        <v>235</v>
      </c>
      <c r="AZ13" s="19"/>
      <c r="BA13" s="16">
        <f>90+90</f>
        <v>180</v>
      </c>
      <c r="BB13" s="19"/>
      <c r="BC13" s="16">
        <f>35+35</f>
        <v>70</v>
      </c>
      <c r="BD13" s="19"/>
      <c r="BE13" s="16">
        <f>45+34</f>
        <v>79</v>
      </c>
      <c r="BF13" s="19"/>
      <c r="BG13" s="16">
        <f>92+80</f>
        <v>172</v>
      </c>
      <c r="BH13" s="19"/>
      <c r="BI13" s="16">
        <f>96+93</f>
        <v>189</v>
      </c>
      <c r="BJ13" s="19"/>
      <c r="BK13" s="16">
        <f>295+271</f>
        <v>566</v>
      </c>
      <c r="BM13" s="16"/>
      <c r="BO13" s="16"/>
      <c r="BQ13" s="16"/>
      <c r="BS13" s="55">
        <f>+SUM(BK13:BQ13)</f>
        <v>566</v>
      </c>
    </row>
    <row r="14" spans="1:120" x14ac:dyDescent="0.2">
      <c r="A14" s="9" t="s">
        <v>56</v>
      </c>
      <c r="C14" s="16">
        <f>112+167</f>
        <v>279</v>
      </c>
      <c r="D14" s="19"/>
      <c r="E14" s="16">
        <f>83+91</f>
        <v>174</v>
      </c>
      <c r="F14" s="19"/>
      <c r="G14" s="16">
        <f>5+1</f>
        <v>6</v>
      </c>
      <c r="H14" s="19"/>
      <c r="I14" s="16">
        <v>0</v>
      </c>
      <c r="J14" s="19"/>
      <c r="K14" s="16">
        <f>6+4</f>
        <v>10</v>
      </c>
      <c r="L14" s="19"/>
      <c r="M14" s="16">
        <f>1+4</f>
        <v>5</v>
      </c>
      <c r="N14" s="19"/>
      <c r="O14" s="16">
        <v>0</v>
      </c>
      <c r="P14" s="19"/>
      <c r="Q14" s="16">
        <v>2</v>
      </c>
      <c r="R14" s="19"/>
      <c r="S14" s="16">
        <f>99+135</f>
        <v>234</v>
      </c>
      <c r="T14" s="19"/>
      <c r="U14" s="16">
        <f>107+129</f>
        <v>236</v>
      </c>
      <c r="V14" s="19"/>
      <c r="W14" s="16">
        <v>1</v>
      </c>
      <c r="X14" s="19"/>
      <c r="Y14" s="16">
        <v>0</v>
      </c>
      <c r="Z14" s="19"/>
      <c r="AA14" s="16">
        <f>1+3</f>
        <v>4</v>
      </c>
      <c r="AB14" s="19"/>
      <c r="AC14" s="16">
        <v>1</v>
      </c>
      <c r="AD14" s="19"/>
      <c r="AE14" s="16">
        <f>107+154</f>
        <v>261</v>
      </c>
      <c r="AF14" s="19"/>
      <c r="AG14" s="16">
        <f>100+109</f>
        <v>209</v>
      </c>
      <c r="AH14" s="19"/>
      <c r="AI14" s="16">
        <f>106+153</f>
        <v>259</v>
      </c>
      <c r="AJ14" s="19"/>
      <c r="AK14" s="16">
        <f>100+111</f>
        <v>211</v>
      </c>
      <c r="AL14" s="19"/>
      <c r="AM14" s="16"/>
      <c r="AN14" s="19"/>
      <c r="AO14" s="16"/>
      <c r="AP14" s="19"/>
      <c r="AQ14" s="16">
        <f>160+191</f>
        <v>351</v>
      </c>
      <c r="AR14" s="19"/>
      <c r="AS14" s="16">
        <f>157+189</f>
        <v>346</v>
      </c>
      <c r="AT14" s="19"/>
      <c r="AU14" s="16">
        <f>91+138</f>
        <v>229</v>
      </c>
      <c r="AV14" s="19"/>
      <c r="AW14" s="16">
        <f>88+134</f>
        <v>222</v>
      </c>
      <c r="AX14" s="19"/>
      <c r="AY14" s="16">
        <f>95+152</f>
        <v>247</v>
      </c>
      <c r="AZ14" s="19"/>
      <c r="BA14" s="16">
        <f>62+113</f>
        <v>175</v>
      </c>
      <c r="BB14" s="19"/>
      <c r="BC14" s="16">
        <f>33+26</f>
        <v>59</v>
      </c>
      <c r="BD14" s="19"/>
      <c r="BE14" s="16">
        <f>29+44</f>
        <v>73</v>
      </c>
      <c r="BF14" s="19"/>
      <c r="BG14" s="16">
        <f>64+86</f>
        <v>150</v>
      </c>
      <c r="BH14" s="19"/>
      <c r="BI14" s="16">
        <f>110+159</f>
        <v>269</v>
      </c>
      <c r="BJ14" s="19"/>
      <c r="BK14" s="16">
        <f>213+273</f>
        <v>486</v>
      </c>
      <c r="BM14" s="16"/>
      <c r="BO14" s="16"/>
      <c r="BQ14" s="16"/>
      <c r="BS14" s="55">
        <f>+SUM(BK14:BQ14)</f>
        <v>486</v>
      </c>
    </row>
    <row r="15" spans="1:120" s="10" customFormat="1" ht="13.5" thickBot="1" x14ac:dyDescent="0.25">
      <c r="A15" s="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"/>
      <c r="BM15" s="19"/>
      <c r="BO15" s="19"/>
      <c r="BP15" s="1"/>
      <c r="BQ15" s="19"/>
      <c r="BS15" s="19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</row>
    <row r="16" spans="1:120" s="48" customFormat="1" ht="13.5" thickBot="1" x14ac:dyDescent="0.25">
      <c r="A16" s="3" t="s">
        <v>24</v>
      </c>
      <c r="C16" s="41">
        <f>+SUM(C11:C14)</f>
        <v>1357</v>
      </c>
      <c r="D16" s="57"/>
      <c r="E16" s="41">
        <f>+SUM(E11:E14)</f>
        <v>957</v>
      </c>
      <c r="F16" s="57"/>
      <c r="G16" s="41">
        <f>+SUM(G11:G14)</f>
        <v>34</v>
      </c>
      <c r="H16" s="57"/>
      <c r="I16" s="41">
        <f>+SUM(I11:I14)</f>
        <v>12</v>
      </c>
      <c r="J16" s="57"/>
      <c r="K16" s="41">
        <f>+SUM(K11:K14)</f>
        <v>21</v>
      </c>
      <c r="L16" s="57"/>
      <c r="M16" s="41">
        <f>+SUM(M11:M14)</f>
        <v>17</v>
      </c>
      <c r="N16" s="57"/>
      <c r="O16" s="41">
        <f>+SUM(O11:O14)</f>
        <v>3</v>
      </c>
      <c r="P16" s="57"/>
      <c r="Q16" s="41">
        <f>+SUM(Q11:Q14)</f>
        <v>6</v>
      </c>
      <c r="R16" s="57"/>
      <c r="S16" s="41">
        <f>+SUM(S11:S14)</f>
        <v>1139</v>
      </c>
      <c r="T16" s="57"/>
      <c r="U16" s="41">
        <f>+SUM(U11:U14)</f>
        <v>1243</v>
      </c>
      <c r="V16" s="42"/>
      <c r="W16" s="41">
        <f>+SUM(W11:W14)</f>
        <v>5</v>
      </c>
      <c r="X16" s="57"/>
      <c r="Y16" s="41">
        <f>+SUM(Y11:Y14)</f>
        <v>7</v>
      </c>
      <c r="Z16" s="57"/>
      <c r="AA16" s="41">
        <f>+SUM(AA11:AA14)</f>
        <v>16</v>
      </c>
      <c r="AB16" s="57"/>
      <c r="AC16" s="41">
        <f>+SUM(AC11:AC14)</f>
        <v>9</v>
      </c>
      <c r="AD16" s="42"/>
      <c r="AE16" s="41">
        <f>+SUM(AE11:AE14)</f>
        <v>1308</v>
      </c>
      <c r="AF16" s="57"/>
      <c r="AG16" s="41">
        <f>+SUM(AG11:AG14)</f>
        <v>1058</v>
      </c>
      <c r="AH16" s="57"/>
      <c r="AI16" s="41">
        <f>+SUM(AI11:AI14)</f>
        <v>1297</v>
      </c>
      <c r="AJ16" s="57"/>
      <c r="AK16" s="41">
        <f>+SUM(AK11:AK14)</f>
        <v>1068</v>
      </c>
      <c r="AL16" s="57"/>
      <c r="AM16" s="41">
        <f>+SUM(AM11:AM14)</f>
        <v>0</v>
      </c>
      <c r="AN16" s="57"/>
      <c r="AO16" s="41">
        <f>+SUM(AO11:AO14)</f>
        <v>0</v>
      </c>
      <c r="AP16" s="57"/>
      <c r="AQ16" s="41">
        <f>+SUM(AQ11:AQ14)</f>
        <v>1525</v>
      </c>
      <c r="AR16" s="57"/>
      <c r="AS16" s="41">
        <f>+SUM(AS11:AS14)</f>
        <v>1520</v>
      </c>
      <c r="AT16" s="57"/>
      <c r="AU16" s="41">
        <f>+SUM(AU11:AU14)</f>
        <v>1161</v>
      </c>
      <c r="AV16" s="57"/>
      <c r="AW16" s="41">
        <f>+SUM(AW11:AW14)</f>
        <v>1086</v>
      </c>
      <c r="AX16" s="57"/>
      <c r="AY16" s="41">
        <f>+SUM(AY11:AY14)</f>
        <v>1246</v>
      </c>
      <c r="AZ16" s="57"/>
      <c r="BA16" s="41">
        <f>+SUM(BA11:BA14)</f>
        <v>932</v>
      </c>
      <c r="BB16" s="57"/>
      <c r="BC16" s="41">
        <f>+SUM(BC11:BC14)</f>
        <v>253</v>
      </c>
      <c r="BD16" s="57"/>
      <c r="BE16" s="41">
        <f>+SUM(BE11:BE14)</f>
        <v>468</v>
      </c>
      <c r="BF16" s="57"/>
      <c r="BG16" s="41">
        <f>+SUM(BG11:BG14)</f>
        <v>795</v>
      </c>
      <c r="BH16" s="57"/>
      <c r="BI16" s="41">
        <f>+SUM(BI11:BI14)</f>
        <v>1209</v>
      </c>
      <c r="BJ16" s="57"/>
      <c r="BK16" s="41">
        <f>+SUM(BK11:BK14)</f>
        <v>2466</v>
      </c>
      <c r="BL16" s="40"/>
      <c r="BM16" s="41">
        <f>+SUM(BM11:BM14)</f>
        <v>263</v>
      </c>
      <c r="BO16" s="41">
        <f>+SUM(BO11:BO14)</f>
        <v>49</v>
      </c>
      <c r="BP16" s="40"/>
      <c r="BQ16" s="41">
        <f>+SUM(BQ11:BQ14)</f>
        <v>0</v>
      </c>
      <c r="BS16" s="41">
        <f>+SUM(BS11:BS14)</f>
        <v>2778</v>
      </c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</row>
    <row r="17" spans="1:120" x14ac:dyDescent="0.2">
      <c r="A17" s="36" t="s">
        <v>73</v>
      </c>
      <c r="C17" s="19">
        <v>122</v>
      </c>
      <c r="D17" s="19"/>
      <c r="E17" s="19">
        <v>117</v>
      </c>
      <c r="F17" s="19"/>
      <c r="G17" s="19">
        <v>6</v>
      </c>
      <c r="H17" s="19"/>
      <c r="I17" s="19">
        <v>0</v>
      </c>
      <c r="J17" s="19"/>
      <c r="K17" s="19">
        <v>3</v>
      </c>
      <c r="L17" s="19"/>
      <c r="M17" s="19">
        <v>0</v>
      </c>
      <c r="N17" s="19"/>
      <c r="O17" s="19">
        <v>0</v>
      </c>
      <c r="P17" s="19"/>
      <c r="Q17" s="19">
        <v>0</v>
      </c>
      <c r="R17" s="19"/>
      <c r="S17" s="19">
        <v>98</v>
      </c>
      <c r="T17" s="19"/>
      <c r="U17" s="19">
        <v>145</v>
      </c>
      <c r="V17" s="19"/>
      <c r="W17" s="19">
        <v>5</v>
      </c>
      <c r="X17" s="19"/>
      <c r="Y17" s="19">
        <v>0</v>
      </c>
      <c r="Z17" s="19"/>
      <c r="AA17" s="19">
        <v>4</v>
      </c>
      <c r="AB17" s="19"/>
      <c r="AC17" s="19">
        <v>0</v>
      </c>
      <c r="AD17" s="19"/>
      <c r="AE17" s="19">
        <v>120</v>
      </c>
      <c r="AF17" s="19"/>
      <c r="AG17" s="19">
        <v>130</v>
      </c>
      <c r="AH17" s="19"/>
      <c r="AI17" s="19">
        <v>117</v>
      </c>
      <c r="AJ17" s="19"/>
      <c r="AK17" s="19">
        <v>135</v>
      </c>
      <c r="AL17" s="19"/>
      <c r="AM17" s="19"/>
      <c r="AN17" s="19"/>
      <c r="AO17" s="19"/>
      <c r="AP17" s="19"/>
      <c r="AQ17" s="19">
        <v>165</v>
      </c>
      <c r="AR17" s="19"/>
      <c r="AS17" s="19">
        <v>164</v>
      </c>
      <c r="AT17" s="19"/>
      <c r="AU17" s="19">
        <v>149</v>
      </c>
      <c r="AV17" s="19"/>
      <c r="AW17" s="19">
        <v>146</v>
      </c>
      <c r="AX17" s="19"/>
      <c r="AY17" s="19">
        <v>169</v>
      </c>
      <c r="AZ17" s="19"/>
      <c r="BA17" s="19">
        <v>59</v>
      </c>
      <c r="BB17" s="19"/>
      <c r="BC17" s="19">
        <v>36</v>
      </c>
      <c r="BD17" s="19"/>
      <c r="BE17" s="19">
        <v>93</v>
      </c>
      <c r="BF17" s="19"/>
      <c r="BG17" s="19">
        <v>130</v>
      </c>
      <c r="BH17" s="19"/>
      <c r="BI17" s="19">
        <v>105</v>
      </c>
      <c r="BJ17" s="19"/>
      <c r="BK17" s="19"/>
      <c r="BM17" s="19"/>
      <c r="BO17" s="19"/>
      <c r="BQ17" s="19"/>
      <c r="BS17" s="19"/>
    </row>
    <row r="18" spans="1:120" x14ac:dyDescent="0.2">
      <c r="A18" s="4" t="s">
        <v>25</v>
      </c>
      <c r="C18" s="19">
        <v>18</v>
      </c>
      <c r="D18" s="19"/>
      <c r="E18" s="19">
        <v>21</v>
      </c>
      <c r="F18" s="19"/>
      <c r="G18" s="19">
        <v>2</v>
      </c>
      <c r="H18" s="19"/>
      <c r="I18" s="19">
        <v>0</v>
      </c>
      <c r="J18" s="19"/>
      <c r="K18" s="19">
        <v>0</v>
      </c>
      <c r="L18" s="19"/>
      <c r="M18" s="19">
        <v>0</v>
      </c>
      <c r="N18" s="19"/>
      <c r="O18" s="19">
        <v>1</v>
      </c>
      <c r="P18" s="19"/>
      <c r="Q18" s="19">
        <v>0</v>
      </c>
      <c r="R18" s="19"/>
      <c r="S18" s="19">
        <v>17</v>
      </c>
      <c r="T18" s="19"/>
      <c r="U18" s="19">
        <v>27</v>
      </c>
      <c r="V18" s="19"/>
      <c r="W18" s="19">
        <v>0</v>
      </c>
      <c r="X18" s="19"/>
      <c r="Y18" s="19">
        <v>0</v>
      </c>
      <c r="Z18" s="19"/>
      <c r="AA18" s="19">
        <v>0</v>
      </c>
      <c r="AB18" s="19"/>
      <c r="AC18" s="19">
        <v>0</v>
      </c>
      <c r="AD18" s="19"/>
      <c r="AE18" s="19">
        <v>20</v>
      </c>
      <c r="AF18" s="19"/>
      <c r="AG18" s="19">
        <v>28</v>
      </c>
      <c r="AH18" s="19"/>
      <c r="AI18" s="19">
        <v>20</v>
      </c>
      <c r="AJ18" s="19"/>
      <c r="AK18" s="19">
        <v>26</v>
      </c>
      <c r="AL18" s="19"/>
      <c r="AM18" s="19"/>
      <c r="AN18" s="19"/>
      <c r="AO18" s="19"/>
      <c r="AP18" s="19"/>
      <c r="AQ18" s="19">
        <v>24</v>
      </c>
      <c r="AR18" s="19"/>
      <c r="AS18" s="19">
        <v>23</v>
      </c>
      <c r="AT18" s="19"/>
      <c r="AU18" s="19">
        <v>17</v>
      </c>
      <c r="AV18" s="19"/>
      <c r="AW18" s="19">
        <v>16</v>
      </c>
      <c r="AX18" s="19"/>
      <c r="AY18" s="19">
        <v>23</v>
      </c>
      <c r="AZ18" s="19"/>
      <c r="BA18" s="19">
        <v>14</v>
      </c>
      <c r="BB18" s="19"/>
      <c r="BC18" s="19">
        <v>3</v>
      </c>
      <c r="BD18" s="19"/>
      <c r="BE18" s="19">
        <v>13</v>
      </c>
      <c r="BF18" s="19"/>
      <c r="BG18" s="19">
        <v>14</v>
      </c>
      <c r="BH18" s="19"/>
      <c r="BI18" s="19">
        <v>25</v>
      </c>
      <c r="BJ18" s="19"/>
      <c r="BK18" s="19"/>
      <c r="BM18" s="19"/>
      <c r="BO18" s="19"/>
      <c r="BQ18" s="19"/>
      <c r="BS18" s="19"/>
    </row>
    <row r="19" spans="1:120" s="10" customFormat="1" ht="13.5" thickBot="1" x14ac:dyDescent="0.25">
      <c r="A19" s="4" t="s">
        <v>79</v>
      </c>
      <c r="C19" s="19">
        <v>0</v>
      </c>
      <c r="D19" s="19"/>
      <c r="E19" s="19">
        <v>0</v>
      </c>
      <c r="F19" s="19"/>
      <c r="G19" s="19">
        <v>0</v>
      </c>
      <c r="H19" s="19"/>
      <c r="I19" s="19">
        <v>0</v>
      </c>
      <c r="J19" s="19"/>
      <c r="K19" s="19">
        <v>0</v>
      </c>
      <c r="L19" s="19"/>
      <c r="M19" s="19">
        <v>0</v>
      </c>
      <c r="N19" s="19"/>
      <c r="O19" s="19">
        <v>0</v>
      </c>
      <c r="P19" s="19"/>
      <c r="Q19" s="19">
        <v>0</v>
      </c>
      <c r="R19" s="19"/>
      <c r="S19" s="19">
        <v>0</v>
      </c>
      <c r="T19" s="19"/>
      <c r="U19" s="19">
        <v>0</v>
      </c>
      <c r="V19" s="19"/>
      <c r="W19" s="19">
        <v>0</v>
      </c>
      <c r="X19" s="19"/>
      <c r="Y19" s="19">
        <v>0</v>
      </c>
      <c r="Z19" s="19"/>
      <c r="AA19" s="19">
        <v>0</v>
      </c>
      <c r="AB19" s="19"/>
      <c r="AC19" s="19">
        <v>0</v>
      </c>
      <c r="AD19" s="19"/>
      <c r="AE19" s="19">
        <v>0</v>
      </c>
      <c r="AF19" s="19"/>
      <c r="AG19" s="19">
        <v>0</v>
      </c>
      <c r="AH19" s="19"/>
      <c r="AI19" s="19">
        <v>0</v>
      </c>
      <c r="AJ19" s="19"/>
      <c r="AK19" s="19">
        <v>0</v>
      </c>
      <c r="AL19" s="19"/>
      <c r="AM19" s="19"/>
      <c r="AN19" s="19"/>
      <c r="AO19" s="19"/>
      <c r="AP19" s="19"/>
      <c r="AQ19" s="19">
        <v>0</v>
      </c>
      <c r="AR19" s="19"/>
      <c r="AS19" s="19">
        <v>0</v>
      </c>
      <c r="AT19" s="19"/>
      <c r="AU19" s="19">
        <v>0</v>
      </c>
      <c r="AV19" s="19"/>
      <c r="AW19" s="19">
        <v>0</v>
      </c>
      <c r="AX19" s="19"/>
      <c r="AY19" s="19">
        <v>0</v>
      </c>
      <c r="AZ19" s="19"/>
      <c r="BA19" s="19">
        <v>0</v>
      </c>
      <c r="BB19" s="19"/>
      <c r="BC19" s="19">
        <v>0</v>
      </c>
      <c r="BD19" s="19"/>
      <c r="BE19" s="19">
        <v>0</v>
      </c>
      <c r="BF19" s="19"/>
      <c r="BG19" s="19">
        <v>0</v>
      </c>
      <c r="BH19" s="19"/>
      <c r="BI19" s="19">
        <v>0</v>
      </c>
      <c r="BJ19" s="19"/>
      <c r="BK19" s="19"/>
      <c r="BL19" s="1"/>
      <c r="BM19" s="19"/>
      <c r="BO19" s="19"/>
      <c r="BP19" s="1"/>
      <c r="BQ19" s="19"/>
      <c r="BS19" s="19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</row>
    <row r="20" spans="1:120" s="48" customFormat="1" ht="13.5" thickBot="1" x14ac:dyDescent="0.25">
      <c r="A20" s="3" t="s">
        <v>26</v>
      </c>
      <c r="C20" s="41">
        <f>+SUM(C16:C19)</f>
        <v>1497</v>
      </c>
      <c r="D20" s="57"/>
      <c r="E20" s="41">
        <f>+SUM(E16:E19)</f>
        <v>1095</v>
      </c>
      <c r="F20" s="57"/>
      <c r="G20" s="41">
        <f>+SUM(G16:G19)</f>
        <v>42</v>
      </c>
      <c r="H20" s="57"/>
      <c r="I20" s="41">
        <f>+SUM(I16:I19)</f>
        <v>12</v>
      </c>
      <c r="J20" s="57"/>
      <c r="K20" s="41">
        <f>+SUM(K16:K19)</f>
        <v>24</v>
      </c>
      <c r="L20" s="57"/>
      <c r="M20" s="41">
        <f>+SUM(M16:M19)</f>
        <v>17</v>
      </c>
      <c r="N20" s="57"/>
      <c r="O20" s="41">
        <f>+SUM(O16:O19)</f>
        <v>4</v>
      </c>
      <c r="P20" s="57"/>
      <c r="Q20" s="41">
        <f>+SUM(Q16:Q19)</f>
        <v>6</v>
      </c>
      <c r="R20" s="57"/>
      <c r="S20" s="41">
        <f>+SUM(S16:S19)</f>
        <v>1254</v>
      </c>
      <c r="T20" s="57"/>
      <c r="U20" s="41">
        <f>+SUM(U16:U19)</f>
        <v>1415</v>
      </c>
      <c r="V20" s="42"/>
      <c r="W20" s="41">
        <f>+SUM(W16:W19)</f>
        <v>10</v>
      </c>
      <c r="X20" s="57"/>
      <c r="Y20" s="41">
        <f>+SUM(Y16:Y19)</f>
        <v>7</v>
      </c>
      <c r="Z20" s="57"/>
      <c r="AA20" s="41">
        <f>+SUM(AA16:AA19)</f>
        <v>20</v>
      </c>
      <c r="AB20" s="57"/>
      <c r="AC20" s="41">
        <f>+SUM(AC16:AC19)</f>
        <v>9</v>
      </c>
      <c r="AD20" s="42"/>
      <c r="AE20" s="41">
        <f>+SUM(AE16:AE19)</f>
        <v>1448</v>
      </c>
      <c r="AF20" s="57"/>
      <c r="AG20" s="41">
        <f>+SUM(AG16:AG19)</f>
        <v>1216</v>
      </c>
      <c r="AH20" s="57"/>
      <c r="AI20" s="41">
        <f>+SUM(AI16:AI19)</f>
        <v>1434</v>
      </c>
      <c r="AJ20" s="57"/>
      <c r="AK20" s="41">
        <f>+SUM(AK16:AK19)</f>
        <v>1229</v>
      </c>
      <c r="AL20" s="57"/>
      <c r="AM20" s="41">
        <f>+SUM(AM16:AM19)</f>
        <v>0</v>
      </c>
      <c r="AN20" s="57"/>
      <c r="AO20" s="41">
        <f>+SUM(AO16:AO19)</f>
        <v>0</v>
      </c>
      <c r="AP20" s="57"/>
      <c r="AQ20" s="41">
        <f>+SUM(AQ16:AQ19)</f>
        <v>1714</v>
      </c>
      <c r="AR20" s="57"/>
      <c r="AS20" s="41">
        <f>+SUM(AS16:AS19)</f>
        <v>1707</v>
      </c>
      <c r="AT20" s="57"/>
      <c r="AU20" s="41">
        <f>+SUM(AU16:AU19)</f>
        <v>1327</v>
      </c>
      <c r="AV20" s="57"/>
      <c r="AW20" s="41">
        <f>+SUM(AW16:AW19)</f>
        <v>1248</v>
      </c>
      <c r="AX20" s="57"/>
      <c r="AY20" s="41">
        <f>+SUM(AY16:AY19)</f>
        <v>1438</v>
      </c>
      <c r="AZ20" s="57"/>
      <c r="BA20" s="41">
        <f>+SUM(BA16:BA19)</f>
        <v>1005</v>
      </c>
      <c r="BB20" s="57"/>
      <c r="BC20" s="41">
        <f>+SUM(BC16:BC19)</f>
        <v>292</v>
      </c>
      <c r="BD20" s="57"/>
      <c r="BE20" s="41">
        <f>+SUM(BE16:BE19)</f>
        <v>574</v>
      </c>
      <c r="BF20" s="57"/>
      <c r="BG20" s="41">
        <f>+SUM(BG16:BG19)</f>
        <v>939</v>
      </c>
      <c r="BH20" s="57"/>
      <c r="BI20" s="41">
        <f>+SUM(BI16:BI19)</f>
        <v>1339</v>
      </c>
      <c r="BJ20" s="57"/>
      <c r="BK20" s="42"/>
      <c r="BL20" s="44"/>
      <c r="BM20" s="42"/>
      <c r="BO20" s="42"/>
      <c r="BP20" s="44"/>
      <c r="BQ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</row>
    <row r="21" spans="1:120" x14ac:dyDescent="0.2"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</row>
    <row r="22" spans="1:120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</row>
    <row r="23" spans="1:120" x14ac:dyDescent="0.2">
      <c r="A23" s="3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</row>
    <row r="24" spans="1:120" x14ac:dyDescent="0.2"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</row>
    <row r="25" spans="1:120" x14ac:dyDescent="0.2"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</row>
  </sheetData>
  <customSheetViews>
    <customSheetView guid="{E44E71C3-F2DB-4787-90CC-B0F1BDA00262}" scale="75" showPageBreaks="1" printArea="1" view="pageBreakPreview">
      <pane xSplit="1" ySplit="2" topLeftCell="S3" activePane="bottomRight" state="frozen"/>
      <selection pane="bottomRight" activeCell="BC12" sqref="BC12"/>
      <colBreaks count="2" manualBreakCount="2">
        <brk id="26" max="1048575" man="1"/>
        <brk id="71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&amp;C&amp;"Arial,Bold"&amp;11Township of Buena Vista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R6" activePane="bottomRight" state="frozen"/>
      <selection pane="bottomRight" activeCell="A15" sqref="A15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2"/>
      <headerFooter alignWithMargins="0">
        <oddHeader xml:space="preserve">&amp;C&amp;"Arial,Bold"&amp;11Township of Buena Vista
General Election - November 3, 2015
Prepared by the Office of Edward P. McGettigan, Atlantic County Clerk&amp;10
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R6" activePane="bottomRight" state="frozen"/>
      <selection pane="bottomRight" activeCell="A15" sqref="A15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3"/>
      <headerFooter alignWithMargins="0">
        <oddHeader xml:space="preserve">&amp;C&amp;"Arial,Bold"&amp;11Township of Buena Vista
General Election - November 3, 2015
Prepared by the Office of Edward P. McGettigan, Atlantic County Clerk&amp;10
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R6" activePane="bottomRight" state="frozen"/>
      <selection pane="bottomRight" activeCell="A15" sqref="A15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4"/>
      <headerFooter alignWithMargins="0">
        <oddHeader xml:space="preserve">&amp;C&amp;"Arial,Bold"&amp;11Township of Buena Vista
General Election - November 3, 2015
Prepared by the Office of Edward P. McGettigan, Atlantic County Clerk&amp;10
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R6" activePane="bottomRight" state="frozen"/>
      <selection pane="bottomRight" activeCell="BC1" sqref="BC1:BC1048576"/>
      <colBreaks count="2" manualBreakCount="2">
        <brk id="26" max="1048575" man="1"/>
        <brk id="71" max="1048575" man="1"/>
      </colBreaks>
      <pageMargins left="0.75" right="0.75" top="1" bottom="1" header="0.5" footer="0.5"/>
      <pageSetup paperSize="5" scale="75" orientation="landscape" r:id="rId5"/>
      <headerFooter alignWithMargins="0">
        <oddHeader xml:space="preserve">&amp;C&amp;"Arial,Bold"&amp;11Township of Buena Vista
General Election - November 3, 2015
Prepared by the Office of Edward P. McGettigan, Atlantic County Clerk&amp;10
</oddHeader>
        <oddFooter>&amp;R&amp;11Page &amp;P</oddFooter>
      </headerFooter>
    </customSheetView>
  </customSheetViews>
  <mergeCells count="11">
    <mergeCell ref="C5:Q5"/>
    <mergeCell ref="S5:AC5"/>
    <mergeCell ref="AE5:AG5"/>
    <mergeCell ref="AI5:AK5"/>
    <mergeCell ref="AM5:AS5"/>
    <mergeCell ref="AU4:AY4"/>
    <mergeCell ref="BA3:BE3"/>
    <mergeCell ref="BA4:BE4"/>
    <mergeCell ref="BA5:BE5"/>
    <mergeCell ref="BG5:BI5"/>
    <mergeCell ref="AU5:AY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 xml:space="preserve">&amp;C&amp;"Arial,Bold"&amp;11Township of Buena Vista
General Election - November 6, 2018
Prepared by the Office of Edward P. McGettigan, Atlantic County Clerk&amp;10
</oddHeader>
    <oddFooter>&amp;R&amp;11Page &amp;P</oddFooter>
  </headerFooter>
  <colBreaks count="3" manualBreakCount="3">
    <brk id="29" max="20" man="1"/>
    <brk id="57" max="20" man="1"/>
    <brk id="71" max="1048575" man="1"/>
  </colBreaks>
  <drawing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3:DD32"/>
  <sheetViews>
    <sheetView zoomScale="75" zoomScaleNormal="75" zoomScaleSheetLayoutView="75" workbookViewId="0">
      <pane xSplit="1" ySplit="7" topLeftCell="F8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61" customWidth="1"/>
    <col min="2" max="2" width="1.7109375" style="37" customWidth="1"/>
    <col min="3" max="3" width="12.140625" style="63" customWidth="1"/>
    <col min="4" max="4" width="1.7109375" style="63" customWidth="1"/>
    <col min="5" max="5" width="10.85546875" style="63" customWidth="1"/>
    <col min="6" max="6" width="1.7109375" style="63" customWidth="1"/>
    <col min="7" max="7" width="15.85546875" style="63" customWidth="1"/>
    <col min="8" max="8" width="1.7109375" style="63" customWidth="1"/>
    <col min="9" max="9" width="12.140625" style="63" customWidth="1"/>
    <col min="10" max="10" width="1.7109375" style="63" customWidth="1"/>
    <col min="11" max="11" width="15.85546875" style="63" customWidth="1"/>
    <col min="12" max="12" width="1.7109375" style="63" customWidth="1"/>
    <col min="13" max="13" width="12.140625" style="63" customWidth="1"/>
    <col min="14" max="14" width="1.7109375" style="63" customWidth="1"/>
    <col min="15" max="15" width="12.140625" style="63" customWidth="1"/>
    <col min="16" max="16" width="1.7109375" style="63" customWidth="1"/>
    <col min="17" max="17" width="14.140625" style="63" customWidth="1"/>
    <col min="18" max="18" width="1.7109375" style="63" customWidth="1"/>
    <col min="19" max="19" width="13.140625" style="63" customWidth="1"/>
    <col min="20" max="20" width="1.7109375" style="63" customWidth="1"/>
    <col min="21" max="21" width="11.42578125" style="63" customWidth="1"/>
    <col min="22" max="22" width="1.7109375" style="63" customWidth="1"/>
    <col min="23" max="23" width="12.140625" style="63" customWidth="1"/>
    <col min="24" max="24" width="2.140625" style="63" customWidth="1"/>
    <col min="25" max="25" width="12.140625" style="63" customWidth="1"/>
    <col min="26" max="26" width="1.7109375" style="63" customWidth="1"/>
    <col min="27" max="27" width="11.5703125" style="63" customWidth="1"/>
    <col min="28" max="28" width="1.7109375" style="63" customWidth="1"/>
    <col min="29" max="29" width="11.85546875" style="63" customWidth="1"/>
    <col min="30" max="30" width="1.7109375" style="63" customWidth="1"/>
    <col min="31" max="31" width="12.140625" style="63" customWidth="1"/>
    <col min="32" max="32" width="1.7109375" style="63" customWidth="1"/>
    <col min="33" max="33" width="13.7109375" style="63" bestFit="1" customWidth="1"/>
    <col min="34" max="34" width="1.7109375" style="63" customWidth="1"/>
    <col min="35" max="35" width="12.140625" style="63" customWidth="1"/>
    <col min="36" max="36" width="1.7109375" style="63" customWidth="1"/>
    <col min="37" max="37" width="12.140625" style="63" customWidth="1"/>
    <col min="38" max="38" width="1.7109375" style="63" customWidth="1"/>
    <col min="39" max="39" width="12.140625" style="63" customWidth="1"/>
    <col min="40" max="40" width="1.7109375" style="63" customWidth="1"/>
    <col min="41" max="41" width="12.140625" style="63" customWidth="1"/>
    <col min="42" max="42" width="1.7109375" style="63" customWidth="1"/>
    <col min="43" max="43" width="12.140625" style="63" customWidth="1"/>
    <col min="44" max="44" width="1.7109375" style="63" customWidth="1"/>
    <col min="45" max="45" width="12.140625" style="63" customWidth="1"/>
    <col min="46" max="46" width="1.7109375" style="63" customWidth="1"/>
    <col min="47" max="47" width="9.28515625" style="63" customWidth="1"/>
    <col min="48" max="48" width="1.7109375" style="63" customWidth="1"/>
    <col min="49" max="49" width="9.28515625" style="63" customWidth="1"/>
    <col min="50" max="50" width="1.7109375" style="63" customWidth="1"/>
    <col min="51" max="51" width="8.85546875" style="110" bestFit="1" customWidth="1"/>
    <col min="52" max="52" width="1.7109375" style="110" customWidth="1"/>
    <col min="53" max="53" width="8.140625" style="110" bestFit="1" customWidth="1"/>
    <col min="54" max="54" width="1.7109375" style="110" customWidth="1"/>
    <col min="55" max="55" width="11.42578125" style="110" customWidth="1"/>
    <col min="56" max="56" width="1.7109375" style="110" customWidth="1"/>
    <col min="57" max="57" width="11" style="110" customWidth="1"/>
    <col min="58" max="58" width="1.7109375" style="110" customWidth="1"/>
    <col min="59" max="59" width="6.85546875" style="110" bestFit="1" customWidth="1"/>
    <col min="60" max="60" width="1.7109375" style="35" customWidth="1"/>
    <col min="61" max="61" width="9.140625" style="35"/>
    <col min="62" max="62" width="1.7109375" style="35" customWidth="1"/>
    <col min="63" max="63" width="9.140625" style="35"/>
    <col min="64" max="64" width="1.7109375" style="35" customWidth="1"/>
    <col min="65" max="65" width="9.140625" style="35"/>
    <col min="66" max="66" width="1.7109375" style="35" customWidth="1"/>
    <col min="67" max="67" width="9.140625" style="35"/>
    <col min="68" max="68" width="1.7109375" style="35" customWidth="1"/>
    <col min="69" max="69" width="9.140625" style="35"/>
    <col min="70" max="70" width="1.7109375" style="35" customWidth="1"/>
    <col min="71" max="71" width="9.140625" style="35"/>
    <col min="72" max="72" width="1.7109375" style="35" customWidth="1"/>
    <col min="73" max="73" width="9.140625" style="35"/>
    <col min="74" max="74" width="1.7109375" style="35" customWidth="1"/>
    <col min="75" max="75" width="9.140625" style="35"/>
    <col min="76" max="76" width="1.7109375" style="35" customWidth="1"/>
    <col min="77" max="77" width="9.140625" style="35"/>
    <col min="78" max="78" width="1.7109375" style="35" customWidth="1"/>
    <col min="79" max="108" width="9.140625" style="35"/>
    <col min="109" max="16384" width="9.140625" style="37"/>
  </cols>
  <sheetData>
    <row r="3" spans="1:108" x14ac:dyDescent="0.2"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</row>
    <row r="4" spans="1:108" s="372" customFormat="1" ht="15" x14ac:dyDescent="0.25">
      <c r="A4" s="362"/>
      <c r="C4" s="154"/>
      <c r="D4" s="154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H4" s="310"/>
      <c r="AI4" s="310"/>
      <c r="AJ4" s="310"/>
      <c r="AK4" s="310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363"/>
      <c r="AZ4" s="363"/>
      <c r="BA4" s="363"/>
      <c r="BB4" s="363"/>
      <c r="BC4" s="363"/>
      <c r="BD4" s="363"/>
      <c r="BE4" s="363"/>
      <c r="BF4" s="363"/>
      <c r="BG4" s="363"/>
      <c r="BH4" s="373"/>
      <c r="BI4" s="373"/>
      <c r="BJ4" s="373"/>
      <c r="BK4" s="373"/>
      <c r="BL4" s="373"/>
      <c r="BM4" s="373"/>
      <c r="BN4" s="373"/>
      <c r="BO4" s="373"/>
      <c r="BP4" s="373"/>
      <c r="BQ4" s="373"/>
      <c r="BR4" s="373"/>
      <c r="BS4" s="373"/>
      <c r="BT4" s="373"/>
      <c r="BU4" s="373"/>
      <c r="BV4" s="373"/>
      <c r="BW4" s="373"/>
      <c r="BX4" s="373"/>
      <c r="BY4" s="373"/>
      <c r="BZ4" s="373"/>
      <c r="CA4" s="373"/>
      <c r="CB4" s="373"/>
      <c r="CC4" s="373"/>
      <c r="CD4" s="373"/>
      <c r="CE4" s="373"/>
      <c r="CF4" s="373"/>
      <c r="CG4" s="37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  <c r="DC4" s="373"/>
      <c r="DD4" s="373"/>
    </row>
    <row r="5" spans="1:108" s="372" customFormat="1" ht="15.75" thickBot="1" x14ac:dyDescent="0.3">
      <c r="A5" s="362"/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142"/>
      <c r="AE5" s="470" t="s">
        <v>80</v>
      </c>
      <c r="AF5" s="470"/>
      <c r="AG5" s="470"/>
      <c r="AH5" s="376"/>
      <c r="AI5" s="471" t="s">
        <v>185</v>
      </c>
      <c r="AJ5" s="471"/>
      <c r="AK5" s="471"/>
      <c r="AL5" s="323"/>
      <c r="AM5" s="464" t="s">
        <v>103</v>
      </c>
      <c r="AN5" s="464"/>
      <c r="AO5" s="464"/>
      <c r="AP5" s="323"/>
      <c r="AQ5" s="464" t="s">
        <v>117</v>
      </c>
      <c r="AR5" s="464"/>
      <c r="AS5" s="464"/>
      <c r="AT5" s="405"/>
      <c r="AU5" s="457" t="s">
        <v>196</v>
      </c>
      <c r="AV5" s="457"/>
      <c r="AW5" s="457"/>
      <c r="AX5" s="323"/>
      <c r="AY5" s="363"/>
      <c r="AZ5" s="363"/>
      <c r="BA5" s="363"/>
      <c r="BB5" s="363"/>
      <c r="BC5" s="363"/>
      <c r="BD5" s="363"/>
      <c r="BE5" s="363"/>
      <c r="BF5" s="363"/>
      <c r="BG5" s="363"/>
      <c r="BH5" s="373"/>
      <c r="BI5" s="373"/>
      <c r="BJ5" s="373"/>
      <c r="BK5" s="373"/>
      <c r="BL5" s="373"/>
      <c r="BM5" s="373"/>
      <c r="BN5" s="373"/>
      <c r="BO5" s="373"/>
      <c r="BP5" s="373"/>
      <c r="BQ5" s="373"/>
      <c r="BR5" s="373"/>
      <c r="BS5" s="373"/>
      <c r="BT5" s="373"/>
      <c r="BU5" s="373"/>
      <c r="BV5" s="373"/>
      <c r="BW5" s="373"/>
      <c r="BX5" s="373"/>
      <c r="BY5" s="373"/>
      <c r="BZ5" s="373"/>
      <c r="CA5" s="373"/>
      <c r="CB5" s="373"/>
      <c r="CC5" s="373"/>
      <c r="CD5" s="373"/>
      <c r="CE5" s="373"/>
      <c r="CF5" s="373"/>
      <c r="CG5" s="37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  <c r="DC5" s="373"/>
      <c r="DD5" s="373"/>
    </row>
    <row r="6" spans="1:108" s="191" customFormat="1" ht="15" x14ac:dyDescent="0.2">
      <c r="A6" s="89"/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142"/>
      <c r="AE6" s="172"/>
      <c r="AF6" s="173"/>
      <c r="AG6" s="174"/>
      <c r="AH6" s="267"/>
      <c r="AI6" s="386"/>
      <c r="AJ6" s="387"/>
      <c r="AK6" s="388" t="str">
        <f>+'Lead Sheet '!AO4</f>
        <v>Barbara</v>
      </c>
      <c r="AL6" s="282"/>
      <c r="AM6" s="103"/>
      <c r="AN6" s="104"/>
      <c r="AO6" s="105"/>
      <c r="AP6" s="282"/>
      <c r="AQ6" s="103"/>
      <c r="AR6" s="164"/>
      <c r="AS6" s="178" t="s">
        <v>107</v>
      </c>
      <c r="AT6" s="279"/>
      <c r="AU6" s="172"/>
      <c r="AV6" s="173"/>
      <c r="AW6" s="174"/>
      <c r="AX6" s="95"/>
      <c r="AY6" s="79"/>
      <c r="AZ6" s="77"/>
      <c r="BA6" s="81"/>
      <c r="BB6" s="77"/>
      <c r="BC6" s="81"/>
      <c r="BD6" s="77"/>
      <c r="BE6" s="81"/>
      <c r="BF6" s="77"/>
      <c r="BG6" s="82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</row>
    <row r="7" spans="1:108" s="191" customFormat="1" ht="15" x14ac:dyDescent="0.25">
      <c r="A7" s="89"/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106" t="str">
        <f>+'Lead Sheet '!AM5</f>
        <v>James</v>
      </c>
      <c r="AJ7" s="282"/>
      <c r="AK7" s="107" t="str">
        <f>+'Lead Sheet '!AO5</f>
        <v>BUTTERHOF</v>
      </c>
      <c r="AL7" s="282"/>
      <c r="AM7" s="106" t="s">
        <v>246</v>
      </c>
      <c r="AN7" s="282"/>
      <c r="AO7" s="107" t="s">
        <v>248</v>
      </c>
      <c r="AP7" s="282"/>
      <c r="AQ7" s="106" t="s">
        <v>250</v>
      </c>
      <c r="AR7" s="279"/>
      <c r="AS7" s="234" t="s">
        <v>252</v>
      </c>
      <c r="AT7" s="279"/>
      <c r="AU7" s="155"/>
      <c r="AV7" s="137"/>
      <c r="AW7" s="156"/>
      <c r="AX7" s="95"/>
      <c r="AY7" s="78" t="s">
        <v>24</v>
      </c>
      <c r="AZ7" s="76"/>
      <c r="BA7" s="83" t="s">
        <v>24</v>
      </c>
      <c r="BB7" s="76"/>
      <c r="BC7" s="83" t="s">
        <v>24</v>
      </c>
      <c r="BD7" s="76"/>
      <c r="BE7" s="83" t="s">
        <v>24</v>
      </c>
      <c r="BF7" s="76"/>
      <c r="BG7" s="84" t="s">
        <v>24</v>
      </c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</row>
    <row r="8" spans="1:108" s="191" customFormat="1" ht="14.25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106" t="str">
        <f>+'Lead Sheet '!AM6</f>
        <v>BERTINO</v>
      </c>
      <c r="AJ8" s="282"/>
      <c r="AK8" s="107" t="str">
        <f>+'Lead Sheet '!AO6</f>
        <v>RHEAULT</v>
      </c>
      <c r="AL8" s="282"/>
      <c r="AM8" s="106" t="s">
        <v>247</v>
      </c>
      <c r="AN8" s="282"/>
      <c r="AO8" s="107" t="s">
        <v>249</v>
      </c>
      <c r="AP8" s="282"/>
      <c r="AQ8" s="106" t="s">
        <v>251</v>
      </c>
      <c r="AR8" s="279"/>
      <c r="AS8" s="97" t="s">
        <v>119</v>
      </c>
      <c r="AT8" s="279"/>
      <c r="AU8" s="315" t="s">
        <v>106</v>
      </c>
      <c r="AV8" s="143"/>
      <c r="AW8" s="316" t="s">
        <v>107</v>
      </c>
      <c r="AX8" s="95"/>
      <c r="AY8" s="78" t="s">
        <v>83</v>
      </c>
      <c r="AZ8" s="76"/>
      <c r="BA8" s="83" t="s">
        <v>84</v>
      </c>
      <c r="BB8" s="76"/>
      <c r="BC8" s="83" t="s">
        <v>85</v>
      </c>
      <c r="BD8" s="76"/>
      <c r="BE8" s="83" t="s">
        <v>86</v>
      </c>
      <c r="BF8" s="76"/>
      <c r="BG8" s="84" t="s">
        <v>87</v>
      </c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</row>
    <row r="9" spans="1:108" s="191" customFormat="1" ht="14.25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106" t="str">
        <f>+'Lead Sheet '!AM7</f>
        <v>Republican</v>
      </c>
      <c r="AJ9" s="282"/>
      <c r="AK9" s="107" t="str">
        <f>+'Lead Sheet '!AO7</f>
        <v>Democratic</v>
      </c>
      <c r="AL9" s="282"/>
      <c r="AM9" s="106" t="s">
        <v>93</v>
      </c>
      <c r="AN9" s="282"/>
      <c r="AO9" s="107" t="s">
        <v>99</v>
      </c>
      <c r="AP9" s="282"/>
      <c r="AQ9" s="106" t="s">
        <v>93</v>
      </c>
      <c r="AR9" s="279"/>
      <c r="AS9" s="167" t="s">
        <v>99</v>
      </c>
      <c r="AT9" s="279"/>
      <c r="AU9" s="296"/>
      <c r="AV9" s="295"/>
      <c r="AW9" s="297"/>
      <c r="AX9" s="95"/>
      <c r="AY9" s="78" t="s">
        <v>89</v>
      </c>
      <c r="AZ9" s="76"/>
      <c r="BA9" s="83" t="s">
        <v>90</v>
      </c>
      <c r="BB9" s="76"/>
      <c r="BC9" s="83" t="s">
        <v>89</v>
      </c>
      <c r="BD9" s="76"/>
      <c r="BE9" s="83" t="s">
        <v>89</v>
      </c>
      <c r="BF9" s="76"/>
      <c r="BG9" s="84" t="s">
        <v>89</v>
      </c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</row>
    <row r="10" spans="1:108" s="257" customFormat="1" ht="14.25" customHeight="1" thickBot="1" x14ac:dyDescent="0.25">
      <c r="A10" s="256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67"/>
      <c r="AM10" s="264"/>
      <c r="AN10" s="265"/>
      <c r="AO10" s="266"/>
      <c r="AP10" s="267"/>
      <c r="AQ10" s="264"/>
      <c r="AR10" s="263"/>
      <c r="AS10" s="268"/>
      <c r="AT10" s="262"/>
      <c r="AU10" s="337"/>
      <c r="AV10" s="330"/>
      <c r="AW10" s="346"/>
      <c r="AX10" s="214"/>
      <c r="AY10" s="80"/>
      <c r="AZ10" s="85"/>
      <c r="BA10" s="85"/>
      <c r="BB10" s="85"/>
      <c r="BC10" s="85"/>
      <c r="BD10" s="85"/>
      <c r="BE10" s="85"/>
      <c r="BF10" s="85"/>
      <c r="BG10" s="86"/>
      <c r="BH10" s="269"/>
      <c r="BI10" s="269"/>
      <c r="BJ10" s="269"/>
      <c r="BK10" s="269"/>
      <c r="BL10" s="269"/>
      <c r="BM10" s="269"/>
      <c r="BN10" s="269"/>
      <c r="BO10" s="269"/>
      <c r="BP10" s="269"/>
      <c r="BQ10" s="269"/>
      <c r="BR10" s="269"/>
      <c r="BS10" s="269"/>
      <c r="BT10" s="269"/>
      <c r="BU10" s="269"/>
      <c r="BV10" s="269"/>
      <c r="BW10" s="269"/>
      <c r="BX10" s="269"/>
      <c r="BY10" s="269"/>
      <c r="BZ10" s="269"/>
      <c r="CA10" s="269"/>
      <c r="CB10" s="269"/>
      <c r="CC10" s="269"/>
      <c r="CD10" s="269"/>
      <c r="CE10" s="269"/>
      <c r="CF10" s="269"/>
      <c r="CG10" s="269"/>
      <c r="CH10" s="269"/>
      <c r="CI10" s="269"/>
      <c r="CJ10" s="269"/>
      <c r="CK10" s="269"/>
      <c r="CL10" s="269"/>
      <c r="CM10" s="269"/>
      <c r="CN10" s="269"/>
      <c r="CO10" s="269"/>
      <c r="CP10" s="269"/>
      <c r="CQ10" s="269"/>
      <c r="CR10" s="269"/>
      <c r="CS10" s="269"/>
      <c r="CT10" s="269"/>
      <c r="CU10" s="269"/>
      <c r="CV10" s="269"/>
      <c r="CW10" s="269"/>
      <c r="CX10" s="269"/>
      <c r="CY10" s="269"/>
      <c r="CZ10" s="269"/>
      <c r="DA10" s="269"/>
      <c r="DB10" s="269"/>
      <c r="DC10" s="269"/>
      <c r="DD10" s="269"/>
    </row>
    <row r="11" spans="1:108" x14ac:dyDescent="0.2">
      <c r="A11" s="61" t="s">
        <v>59</v>
      </c>
      <c r="C11" s="62">
        <f>69+61</f>
        <v>130</v>
      </c>
      <c r="D11" s="35"/>
      <c r="E11" s="62">
        <f>27+33</f>
        <v>60</v>
      </c>
      <c r="F11" s="35"/>
      <c r="G11" s="62">
        <v>1</v>
      </c>
      <c r="H11" s="35"/>
      <c r="I11" s="62">
        <v>1</v>
      </c>
      <c r="J11" s="35"/>
      <c r="K11" s="62">
        <v>1</v>
      </c>
      <c r="L11" s="35"/>
      <c r="M11" s="62">
        <f>1+2</f>
        <v>3</v>
      </c>
      <c r="N11" s="35"/>
      <c r="O11" s="62">
        <f>1+2</f>
        <v>3</v>
      </c>
      <c r="P11" s="35"/>
      <c r="Q11" s="62">
        <v>0</v>
      </c>
      <c r="R11" s="35"/>
      <c r="S11" s="62">
        <f>56+52</f>
        <v>108</v>
      </c>
      <c r="T11" s="35"/>
      <c r="U11" s="62">
        <f>45+51</f>
        <v>96</v>
      </c>
      <c r="V11" s="35"/>
      <c r="W11" s="62">
        <v>0</v>
      </c>
      <c r="X11" s="35"/>
      <c r="Y11" s="62">
        <v>0</v>
      </c>
      <c r="Z11" s="35"/>
      <c r="AA11" s="62">
        <v>0</v>
      </c>
      <c r="AB11" s="35"/>
      <c r="AC11" s="62">
        <v>0</v>
      </c>
      <c r="AD11" s="35"/>
      <c r="AE11" s="62">
        <f>65+60</f>
        <v>125</v>
      </c>
      <c r="AF11" s="35"/>
      <c r="AG11" s="62">
        <f>32+40</f>
        <v>72</v>
      </c>
      <c r="AH11" s="35"/>
      <c r="AI11" s="62">
        <f>65+60</f>
        <v>125</v>
      </c>
      <c r="AJ11" s="35"/>
      <c r="AK11" s="62">
        <f>31+40</f>
        <v>71</v>
      </c>
      <c r="AL11" s="35"/>
      <c r="AM11" s="62">
        <f>64+61</f>
        <v>125</v>
      </c>
      <c r="AN11" s="35"/>
      <c r="AO11" s="62">
        <f>35+38</f>
        <v>73</v>
      </c>
      <c r="AP11" s="35"/>
      <c r="AQ11" s="62">
        <f>77+78</f>
        <v>155</v>
      </c>
      <c r="AR11" s="35"/>
      <c r="AS11" s="62"/>
      <c r="AT11" s="35"/>
      <c r="AU11" s="62">
        <f>34+39</f>
        <v>73</v>
      </c>
      <c r="AV11" s="35"/>
      <c r="AW11" s="62">
        <f>56+53</f>
        <v>109</v>
      </c>
      <c r="AX11" s="35"/>
      <c r="AY11" s="62">
        <f>103+103</f>
        <v>206</v>
      </c>
      <c r="AZ11" s="35"/>
      <c r="BA11" s="62">
        <v>25</v>
      </c>
      <c r="BB11" s="35"/>
      <c r="BC11" s="62">
        <v>6</v>
      </c>
      <c r="BD11" s="63"/>
      <c r="BE11" s="62"/>
      <c r="BF11" s="63"/>
      <c r="BG11" s="62">
        <f>+SUM(AY11:BE11)</f>
        <v>237</v>
      </c>
    </row>
    <row r="12" spans="1:108" ht="13.5" thickBot="1" x14ac:dyDescent="0.25"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63"/>
      <c r="BE12" s="35"/>
      <c r="BF12" s="63"/>
      <c r="BG12" s="35"/>
    </row>
    <row r="13" spans="1:108" s="48" customFormat="1" ht="13.5" thickBot="1" x14ac:dyDescent="0.25">
      <c r="A13" s="3" t="s">
        <v>24</v>
      </c>
      <c r="C13" s="41">
        <f>+C11</f>
        <v>130</v>
      </c>
      <c r="D13" s="118"/>
      <c r="E13" s="41">
        <f>+E11</f>
        <v>60</v>
      </c>
      <c r="F13" s="118"/>
      <c r="G13" s="41">
        <f>+G11</f>
        <v>1</v>
      </c>
      <c r="H13" s="118"/>
      <c r="I13" s="41">
        <f>+I11</f>
        <v>1</v>
      </c>
      <c r="J13" s="118"/>
      <c r="K13" s="41">
        <f>+K11</f>
        <v>1</v>
      </c>
      <c r="L13" s="118"/>
      <c r="M13" s="41">
        <f>+M11</f>
        <v>3</v>
      </c>
      <c r="N13" s="118"/>
      <c r="O13" s="41">
        <f>+O11</f>
        <v>3</v>
      </c>
      <c r="P13" s="118"/>
      <c r="Q13" s="41">
        <f>+Q11</f>
        <v>0</v>
      </c>
      <c r="R13" s="118"/>
      <c r="S13" s="41">
        <f>+S11</f>
        <v>108</v>
      </c>
      <c r="T13" s="118"/>
      <c r="U13" s="41">
        <f>+U11</f>
        <v>96</v>
      </c>
      <c r="V13" s="118"/>
      <c r="W13" s="41">
        <f>+W11</f>
        <v>0</v>
      </c>
      <c r="X13" s="118"/>
      <c r="Y13" s="41">
        <f>+Y11</f>
        <v>0</v>
      </c>
      <c r="Z13" s="118"/>
      <c r="AA13" s="41">
        <f>+AA11</f>
        <v>0</v>
      </c>
      <c r="AB13" s="42"/>
      <c r="AC13" s="41">
        <f>+AC11</f>
        <v>0</v>
      </c>
      <c r="AD13" s="118"/>
      <c r="AE13" s="41">
        <f>+AE11</f>
        <v>125</v>
      </c>
      <c r="AF13" s="118"/>
      <c r="AG13" s="41">
        <f>+AG11</f>
        <v>72</v>
      </c>
      <c r="AH13" s="118"/>
      <c r="AI13" s="41">
        <f>+AI11</f>
        <v>125</v>
      </c>
      <c r="AJ13" s="118"/>
      <c r="AK13" s="41">
        <f>+AK11</f>
        <v>71</v>
      </c>
      <c r="AL13" s="118"/>
      <c r="AM13" s="41">
        <f>+AM11</f>
        <v>125</v>
      </c>
      <c r="AN13" s="118"/>
      <c r="AO13" s="41">
        <f>+AO11</f>
        <v>73</v>
      </c>
      <c r="AP13" s="118"/>
      <c r="AQ13" s="41">
        <f>+AQ11</f>
        <v>155</v>
      </c>
      <c r="AR13" s="118"/>
      <c r="AS13" s="41">
        <f>+AS11</f>
        <v>0</v>
      </c>
      <c r="AT13" s="118"/>
      <c r="AU13" s="41">
        <f>+AU11</f>
        <v>73</v>
      </c>
      <c r="AV13" s="118"/>
      <c r="AW13" s="41">
        <f>+AW11</f>
        <v>109</v>
      </c>
      <c r="AX13" s="118"/>
      <c r="AY13" s="41">
        <f>+AY11</f>
        <v>206</v>
      </c>
      <c r="AZ13" s="118"/>
      <c r="BA13" s="41">
        <f>+BA11</f>
        <v>25</v>
      </c>
      <c r="BB13" s="118"/>
      <c r="BC13" s="41">
        <f>+BC11</f>
        <v>6</v>
      </c>
      <c r="BD13" s="112"/>
      <c r="BE13" s="41">
        <f>+BE11</f>
        <v>0</v>
      </c>
      <c r="BF13" s="112"/>
      <c r="BG13" s="41">
        <f>+BG11</f>
        <v>237</v>
      </c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</row>
    <row r="14" spans="1:108" x14ac:dyDescent="0.2">
      <c r="A14" s="36" t="s">
        <v>73</v>
      </c>
      <c r="C14" s="35">
        <v>10</v>
      </c>
      <c r="D14" s="35"/>
      <c r="E14" s="35">
        <v>15</v>
      </c>
      <c r="F14" s="35"/>
      <c r="G14" s="35">
        <v>0</v>
      </c>
      <c r="H14" s="35"/>
      <c r="I14" s="35">
        <v>0</v>
      </c>
      <c r="J14" s="35"/>
      <c r="K14" s="35">
        <v>0</v>
      </c>
      <c r="L14" s="35"/>
      <c r="M14" s="35">
        <v>0</v>
      </c>
      <c r="N14" s="35"/>
      <c r="O14" s="35">
        <v>0</v>
      </c>
      <c r="P14" s="35"/>
      <c r="Q14" s="35">
        <v>0</v>
      </c>
      <c r="R14" s="35"/>
      <c r="S14" s="35">
        <v>8</v>
      </c>
      <c r="T14" s="35"/>
      <c r="U14" s="35">
        <v>16</v>
      </c>
      <c r="V14" s="35"/>
      <c r="W14" s="35">
        <v>0</v>
      </c>
      <c r="X14" s="35"/>
      <c r="Y14" s="35">
        <v>0</v>
      </c>
      <c r="Z14" s="35"/>
      <c r="AA14" s="35">
        <v>0</v>
      </c>
      <c r="AB14" s="35"/>
      <c r="AC14" s="35">
        <v>0</v>
      </c>
      <c r="AD14" s="35"/>
      <c r="AE14" s="35">
        <v>9</v>
      </c>
      <c r="AF14" s="35"/>
      <c r="AG14" s="35">
        <v>14</v>
      </c>
      <c r="AH14" s="35"/>
      <c r="AI14" s="35">
        <v>9</v>
      </c>
      <c r="AJ14" s="35"/>
      <c r="AK14" s="35">
        <v>15</v>
      </c>
      <c r="AL14" s="35"/>
      <c r="AM14" s="35">
        <v>10</v>
      </c>
      <c r="AN14" s="35"/>
      <c r="AO14" s="35">
        <v>14</v>
      </c>
      <c r="AP14" s="35"/>
      <c r="AQ14" s="35">
        <v>12</v>
      </c>
      <c r="AR14" s="35"/>
      <c r="AS14" s="35"/>
      <c r="AT14" s="35"/>
      <c r="AU14" s="35">
        <v>17</v>
      </c>
      <c r="AV14" s="35"/>
      <c r="AW14" s="35">
        <v>8</v>
      </c>
      <c r="AX14" s="35"/>
      <c r="AY14" s="35"/>
    </row>
    <row r="15" spans="1:108" x14ac:dyDescent="0.2">
      <c r="A15" s="36" t="s">
        <v>25</v>
      </c>
      <c r="C15" s="35">
        <v>2</v>
      </c>
      <c r="D15" s="35"/>
      <c r="E15" s="35">
        <v>2</v>
      </c>
      <c r="F15" s="35"/>
      <c r="G15" s="35">
        <v>0</v>
      </c>
      <c r="H15" s="35"/>
      <c r="I15" s="35">
        <v>0</v>
      </c>
      <c r="J15" s="35"/>
      <c r="K15" s="35">
        <v>0</v>
      </c>
      <c r="L15" s="35"/>
      <c r="M15" s="35">
        <v>0</v>
      </c>
      <c r="N15" s="35"/>
      <c r="O15" s="35">
        <v>0</v>
      </c>
      <c r="P15" s="35"/>
      <c r="Q15" s="35">
        <v>0</v>
      </c>
      <c r="R15" s="35"/>
      <c r="S15" s="35">
        <v>1</v>
      </c>
      <c r="T15" s="35"/>
      <c r="U15" s="35">
        <v>4</v>
      </c>
      <c r="V15" s="35"/>
      <c r="W15" s="35">
        <v>0</v>
      </c>
      <c r="X15" s="35"/>
      <c r="Y15" s="35">
        <v>0</v>
      </c>
      <c r="Z15" s="35"/>
      <c r="AA15" s="35">
        <v>0</v>
      </c>
      <c r="AB15" s="35"/>
      <c r="AC15" s="35">
        <v>0</v>
      </c>
      <c r="AD15" s="35"/>
      <c r="AE15" s="35">
        <v>2</v>
      </c>
      <c r="AF15" s="35"/>
      <c r="AG15" s="35">
        <v>2</v>
      </c>
      <c r="AH15" s="35"/>
      <c r="AI15" s="35">
        <v>2</v>
      </c>
      <c r="AJ15" s="35"/>
      <c r="AK15" s="35">
        <v>2</v>
      </c>
      <c r="AL15" s="35"/>
      <c r="AM15" s="35">
        <v>3</v>
      </c>
      <c r="AN15" s="35"/>
      <c r="AO15" s="35">
        <v>3</v>
      </c>
      <c r="AP15" s="35"/>
      <c r="AQ15" s="35">
        <v>4</v>
      </c>
      <c r="AR15" s="35"/>
      <c r="AS15" s="35"/>
      <c r="AT15" s="35"/>
      <c r="AU15" s="35">
        <v>2</v>
      </c>
      <c r="AV15" s="35"/>
      <c r="AW15" s="35">
        <v>4</v>
      </c>
      <c r="AX15" s="35"/>
      <c r="AY15" s="35"/>
    </row>
    <row r="16" spans="1:108" s="10" customFormat="1" ht="13.5" thickBot="1" x14ac:dyDescent="0.25">
      <c r="A16" s="36" t="s">
        <v>79</v>
      </c>
      <c r="C16" s="35">
        <v>0</v>
      </c>
      <c r="D16" s="35"/>
      <c r="E16" s="35">
        <v>0</v>
      </c>
      <c r="F16" s="35"/>
      <c r="G16" s="35">
        <v>0</v>
      </c>
      <c r="H16" s="35"/>
      <c r="I16" s="35">
        <v>0</v>
      </c>
      <c r="J16" s="35"/>
      <c r="K16" s="35">
        <v>0</v>
      </c>
      <c r="L16" s="35"/>
      <c r="M16" s="35">
        <v>0</v>
      </c>
      <c r="N16" s="35"/>
      <c r="O16" s="35">
        <v>0</v>
      </c>
      <c r="P16" s="35"/>
      <c r="Q16" s="35">
        <v>0</v>
      </c>
      <c r="R16" s="35"/>
      <c r="S16" s="35">
        <v>0</v>
      </c>
      <c r="T16" s="35"/>
      <c r="U16" s="35">
        <v>0</v>
      </c>
      <c r="V16" s="35"/>
      <c r="W16" s="35">
        <v>0</v>
      </c>
      <c r="X16" s="35"/>
      <c r="Y16" s="35">
        <v>0</v>
      </c>
      <c r="Z16" s="35"/>
      <c r="AA16" s="35">
        <v>0</v>
      </c>
      <c r="AB16" s="35"/>
      <c r="AC16" s="35">
        <v>0</v>
      </c>
      <c r="AD16" s="35"/>
      <c r="AE16" s="35">
        <v>0</v>
      </c>
      <c r="AF16" s="35"/>
      <c r="AG16" s="35">
        <v>0</v>
      </c>
      <c r="AH16" s="35"/>
      <c r="AI16" s="35">
        <v>0</v>
      </c>
      <c r="AJ16" s="35"/>
      <c r="AK16" s="35">
        <v>0</v>
      </c>
      <c r="AL16" s="35"/>
      <c r="AM16" s="35">
        <v>0</v>
      </c>
      <c r="AN16" s="35"/>
      <c r="AO16" s="35">
        <v>0</v>
      </c>
      <c r="AP16" s="35"/>
      <c r="AQ16" s="35">
        <v>0</v>
      </c>
      <c r="AR16" s="35"/>
      <c r="AS16" s="35"/>
      <c r="AT16" s="35"/>
      <c r="AU16" s="35">
        <v>0</v>
      </c>
      <c r="AV16" s="35"/>
      <c r="AW16" s="35">
        <v>0</v>
      </c>
      <c r="AX16" s="35"/>
      <c r="AY16" s="35"/>
      <c r="AZ16" s="11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</row>
    <row r="17" spans="1:108" s="48" customFormat="1" ht="13.5" thickBot="1" x14ac:dyDescent="0.25">
      <c r="A17" s="3" t="s">
        <v>26</v>
      </c>
      <c r="C17" s="41">
        <f>+SUM(C13:C16)</f>
        <v>142</v>
      </c>
      <c r="D17" s="118"/>
      <c r="E17" s="41">
        <f>+SUM(E13:E16)</f>
        <v>77</v>
      </c>
      <c r="F17" s="118"/>
      <c r="G17" s="41">
        <f>+SUM(G13:G16)</f>
        <v>1</v>
      </c>
      <c r="H17" s="118"/>
      <c r="I17" s="41">
        <f>+SUM(I13:I16)</f>
        <v>1</v>
      </c>
      <c r="J17" s="118"/>
      <c r="K17" s="41">
        <f>+SUM(K13:K16)</f>
        <v>1</v>
      </c>
      <c r="L17" s="118"/>
      <c r="M17" s="41">
        <f>+SUM(M13:M16)</f>
        <v>3</v>
      </c>
      <c r="N17" s="118"/>
      <c r="O17" s="41">
        <f>+SUM(O13:O16)</f>
        <v>3</v>
      </c>
      <c r="P17" s="118"/>
      <c r="Q17" s="41">
        <f>+SUM(Q13:Q16)</f>
        <v>0</v>
      </c>
      <c r="R17" s="118"/>
      <c r="S17" s="41">
        <f>+SUM(S13:S16)</f>
        <v>117</v>
      </c>
      <c r="T17" s="118"/>
      <c r="U17" s="41">
        <f>+SUM(U13:U16)</f>
        <v>116</v>
      </c>
      <c r="V17" s="118"/>
      <c r="W17" s="41">
        <f>+SUM(W13:W16)</f>
        <v>0</v>
      </c>
      <c r="X17" s="118"/>
      <c r="Y17" s="41">
        <f>+SUM(Y13:Y16)</f>
        <v>0</v>
      </c>
      <c r="Z17" s="118"/>
      <c r="AA17" s="41">
        <f>+SUM(AA13:AA16)</f>
        <v>0</v>
      </c>
      <c r="AB17" s="42"/>
      <c r="AC17" s="41">
        <f>+SUM(AC13:AC16)</f>
        <v>0</v>
      </c>
      <c r="AD17" s="118"/>
      <c r="AE17" s="41">
        <f>+SUM(AE13:AE16)</f>
        <v>136</v>
      </c>
      <c r="AF17" s="118"/>
      <c r="AG17" s="41">
        <f>+SUM(AG13:AG16)</f>
        <v>88</v>
      </c>
      <c r="AH17" s="118"/>
      <c r="AI17" s="41">
        <f>+SUM(AI13:AI16)</f>
        <v>136</v>
      </c>
      <c r="AJ17" s="118"/>
      <c r="AK17" s="41">
        <f>+SUM(AK13:AK16)</f>
        <v>88</v>
      </c>
      <c r="AL17" s="118"/>
      <c r="AM17" s="41">
        <f>+SUM(AM13:AM16)</f>
        <v>138</v>
      </c>
      <c r="AN17" s="118"/>
      <c r="AO17" s="41">
        <f>+SUM(AO13:AO16)</f>
        <v>90</v>
      </c>
      <c r="AP17" s="118"/>
      <c r="AQ17" s="41">
        <f>+SUM(AQ13:AQ16)</f>
        <v>171</v>
      </c>
      <c r="AR17" s="118"/>
      <c r="AS17" s="41">
        <f>+SUM(AS13:AS16)</f>
        <v>0</v>
      </c>
      <c r="AT17" s="118"/>
      <c r="AU17" s="41">
        <f>+SUM(AU13:AU16)</f>
        <v>92</v>
      </c>
      <c r="AV17" s="118"/>
      <c r="AW17" s="41">
        <f>+SUM(AW13:AW16)</f>
        <v>121</v>
      </c>
      <c r="AX17" s="118"/>
      <c r="AY17" s="42"/>
      <c r="AZ17" s="114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</row>
    <row r="18" spans="1:108" x14ac:dyDescent="0.2"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</row>
    <row r="19" spans="1:108" x14ac:dyDescent="0.2">
      <c r="A19" s="3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</row>
    <row r="20" spans="1:108" x14ac:dyDescent="0.2">
      <c r="A20" s="36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</row>
    <row r="21" spans="1:108" x14ac:dyDescent="0.2">
      <c r="A21" s="36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</row>
    <row r="22" spans="1:108" x14ac:dyDescent="0.2">
      <c r="A22" s="36"/>
    </row>
    <row r="23" spans="1:108" x14ac:dyDescent="0.2">
      <c r="A23" s="3"/>
    </row>
    <row r="31" spans="1:108" x14ac:dyDescent="0.2"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</row>
    <row r="32" spans="1:108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W12" sqref="W12:AC14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&amp;C&amp;"Arial,Bold"&amp;11Corbin City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F6" activePane="bottomRight" state="frozen"/>
      <selection pane="bottomRight" activeCell="AA10" sqref="AA10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&amp;C&amp;"Arial,Bold"&amp;11Corbin City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F6" activePane="bottomRight" state="frozen"/>
      <selection pane="bottomRight" activeCell="AA10" sqref="AA10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&amp;C&amp;"Arial,Bold"&amp;11Corbin City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F6" activePane="bottomRight" state="frozen"/>
      <selection pane="bottomRight" activeCell="AA10" sqref="AA10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&amp;C&amp;"Arial,Bold"&amp;11Corbin City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F6" activePane="bottomRight" state="frozen"/>
      <selection pane="bottomRight" activeCell="AA10" sqref="AA10"/>
      <colBreaks count="2" manualBreakCount="2">
        <brk id="26" max="1048575" man="1"/>
        <brk id="49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&amp;C&amp;"Arial,Bold"&amp;11Corbin City
General Election - November 3, 2015
Prepared by the Office of Edward P. McGettigan, Atlantic County Clerk</oddHeader>
        <oddFooter>&amp;R&amp;11Page &amp;P</oddFooter>
      </headerFooter>
    </customSheetView>
  </customSheetViews>
  <mergeCells count="7">
    <mergeCell ref="AU5:AW5"/>
    <mergeCell ref="AE5:AG5"/>
    <mergeCell ref="C5:Q5"/>
    <mergeCell ref="S5:AC5"/>
    <mergeCell ref="AI5:AK5"/>
    <mergeCell ref="AQ5:AS5"/>
    <mergeCell ref="AM5:AO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&amp;C&amp;"Arial,Bold"&amp;11Corbin City
General Election - November 6, 2018
Prepared by the Office of Edward P. McGettigan, Atlantic County Clerk</oddHeader>
    <oddFooter>&amp;R&amp;11Page &amp;P</oddFooter>
  </headerFooter>
  <colBreaks count="1" manualBreakCount="1">
    <brk id="29" max="15" man="1"/>
  </colBreaks>
  <drawing r:id="rId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H38"/>
  <sheetViews>
    <sheetView zoomScale="75" zoomScaleNormal="75" zoomScaleSheetLayoutView="75" workbookViewId="0">
      <pane xSplit="1" ySplit="7" topLeftCell="B8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9" customWidth="1"/>
    <col min="2" max="2" width="1.7109375" style="11" customWidth="1"/>
    <col min="3" max="3" width="12.140625" style="33" customWidth="1"/>
    <col min="4" max="4" width="1.7109375" style="33" customWidth="1"/>
    <col min="5" max="5" width="12.140625" style="33" customWidth="1"/>
    <col min="6" max="6" width="1.7109375" style="33" customWidth="1"/>
    <col min="7" max="7" width="12.140625" style="33" customWidth="1"/>
    <col min="8" max="8" width="1.7109375" style="33" customWidth="1"/>
    <col min="9" max="9" width="12.140625" style="33" customWidth="1"/>
    <col min="10" max="10" width="1.7109375" style="33" customWidth="1"/>
    <col min="11" max="11" width="12.140625" style="33" customWidth="1"/>
    <col min="12" max="12" width="1.7109375" style="33" customWidth="1"/>
    <col min="13" max="13" width="12.140625" style="33" customWidth="1"/>
    <col min="14" max="14" width="1.7109375" style="33" customWidth="1"/>
    <col min="15" max="15" width="12.140625" style="33" customWidth="1"/>
    <col min="16" max="16" width="1.7109375" style="33" customWidth="1"/>
    <col min="17" max="17" width="14.140625" style="33" customWidth="1"/>
    <col min="18" max="18" width="1.7109375" style="33" customWidth="1"/>
    <col min="19" max="19" width="12.85546875" style="33" customWidth="1"/>
    <col min="20" max="20" width="1.7109375" style="33" customWidth="1"/>
    <col min="21" max="21" width="12.140625" style="33" customWidth="1"/>
    <col min="22" max="22" width="1.7109375" style="33" customWidth="1"/>
    <col min="23" max="23" width="12.140625" style="33" customWidth="1"/>
    <col min="24" max="24" width="1.7109375" style="33" customWidth="1"/>
    <col min="25" max="25" width="12.140625" style="33" customWidth="1"/>
    <col min="26" max="26" width="1.7109375" style="33" customWidth="1"/>
    <col min="27" max="27" width="12.140625" style="33" customWidth="1"/>
    <col min="28" max="28" width="1.7109375" style="33" customWidth="1"/>
    <col min="29" max="29" width="12.140625" style="33" customWidth="1"/>
    <col min="30" max="30" width="1.7109375" style="33" customWidth="1"/>
    <col min="31" max="31" width="12.140625" style="33" customWidth="1"/>
    <col min="32" max="32" width="1.7109375" style="33" customWidth="1"/>
    <col min="33" max="33" width="13.5703125" style="33" customWidth="1"/>
    <col min="34" max="34" width="1.7109375" style="33" customWidth="1"/>
    <col min="35" max="35" width="12.140625" style="33" customWidth="1"/>
    <col min="36" max="36" width="1.7109375" style="33" customWidth="1"/>
    <col min="37" max="37" width="12.140625" style="33" customWidth="1"/>
    <col min="38" max="38" width="1.7109375" style="33" customWidth="1"/>
    <col min="39" max="39" width="12.140625" style="33" customWidth="1"/>
    <col min="40" max="40" width="1.7109375" style="33" customWidth="1"/>
    <col min="41" max="41" width="12.140625" style="33" customWidth="1"/>
    <col min="42" max="42" width="1.7109375" style="33" customWidth="1"/>
    <col min="43" max="43" width="12.140625" style="33" customWidth="1"/>
    <col min="44" max="44" width="1.7109375" style="33" customWidth="1"/>
    <col min="45" max="45" width="12.140625" style="33" customWidth="1"/>
    <col min="46" max="46" width="1.7109375" style="33" customWidth="1"/>
    <col min="47" max="47" width="12.140625" style="33" customWidth="1"/>
    <col min="48" max="48" width="1.7109375" style="33" customWidth="1"/>
    <col min="49" max="49" width="12.140625" style="33" customWidth="1"/>
    <col min="50" max="50" width="1.7109375" style="33" customWidth="1"/>
    <col min="51" max="51" width="12.140625" style="33" customWidth="1"/>
    <col min="52" max="52" width="1.7109375" style="33" customWidth="1"/>
    <col min="53" max="53" width="12.140625" style="33" customWidth="1"/>
    <col min="54" max="54" width="1.7109375" style="33" customWidth="1"/>
    <col min="55" max="55" width="12.140625" style="33" customWidth="1"/>
    <col min="56" max="56" width="1.7109375" style="33" customWidth="1"/>
    <col min="57" max="57" width="9.7109375" style="33" customWidth="1"/>
    <col min="58" max="58" width="1.7109375" style="33" customWidth="1"/>
    <col min="59" max="59" width="9.7109375" style="33" customWidth="1"/>
    <col min="60" max="60" width="1.7109375" style="33" customWidth="1"/>
    <col min="61" max="61" width="9.140625" style="1" customWidth="1"/>
    <col min="62" max="62" width="1.7109375" style="1" customWidth="1"/>
    <col min="63" max="63" width="8.85546875" style="1" customWidth="1"/>
    <col min="64" max="64" width="1.7109375" style="19" customWidth="1"/>
    <col min="65" max="65" width="11.85546875" style="33" customWidth="1"/>
    <col min="66" max="66" width="1.7109375" style="33" customWidth="1"/>
    <col min="67" max="67" width="11.140625" style="33" customWidth="1"/>
    <col min="68" max="68" width="1.7109375" style="33" customWidth="1"/>
    <col min="69" max="69" width="11.85546875" style="33" customWidth="1"/>
    <col min="70" max="70" width="1.7109375" style="19" customWidth="1"/>
    <col min="71" max="71" width="11.85546875" style="19" customWidth="1"/>
    <col min="72" max="72" width="1.7109375" style="19" customWidth="1"/>
    <col min="73" max="73" width="11.85546875" style="19" customWidth="1"/>
    <col min="74" max="74" width="1.7109375" style="19" customWidth="1"/>
    <col min="75" max="75" width="11.85546875" style="19" customWidth="1"/>
    <col min="76" max="76" width="1.7109375" style="19" customWidth="1"/>
    <col min="77" max="77" width="11.85546875" style="19" customWidth="1"/>
    <col min="78" max="78" width="1.7109375" style="19" customWidth="1"/>
    <col min="79" max="79" width="11.85546875" style="19" customWidth="1"/>
    <col min="80" max="80" width="1.7109375" style="19" customWidth="1"/>
    <col min="81" max="81" width="11.85546875" style="19" customWidth="1"/>
    <col min="82" max="82" width="1.7109375" style="19" customWidth="1"/>
    <col min="83" max="112" width="9.140625" style="19"/>
    <col min="113" max="16384" width="9.140625" style="11"/>
  </cols>
  <sheetData>
    <row r="1" spans="1:112" s="407" customFormat="1" ht="15" x14ac:dyDescent="0.25">
      <c r="A1" s="309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  <c r="AH1" s="408"/>
      <c r="AI1" s="408"/>
      <c r="AJ1" s="408"/>
      <c r="AK1" s="408"/>
      <c r="AL1" s="408"/>
      <c r="AM1" s="408"/>
      <c r="AN1" s="408"/>
      <c r="AO1" s="408"/>
      <c r="AP1" s="408"/>
      <c r="AQ1" s="408"/>
      <c r="AR1" s="408"/>
      <c r="AS1" s="408"/>
      <c r="AT1" s="408"/>
      <c r="AU1" s="408"/>
      <c r="AV1" s="408"/>
      <c r="AW1" s="408"/>
      <c r="AX1" s="408"/>
      <c r="AY1" s="154" t="s">
        <v>122</v>
      </c>
      <c r="AZ1" s="408"/>
      <c r="BA1" s="408"/>
      <c r="BB1" s="408"/>
      <c r="BC1" s="408"/>
      <c r="BD1" s="408"/>
      <c r="BE1" s="408"/>
      <c r="BF1" s="408"/>
      <c r="BG1" s="408"/>
      <c r="BH1" s="408"/>
      <c r="BI1" s="360"/>
      <c r="BJ1" s="360"/>
      <c r="BK1" s="360"/>
      <c r="BL1" s="409"/>
      <c r="BM1" s="408"/>
      <c r="BN1" s="408"/>
      <c r="BO1" s="408"/>
      <c r="BP1" s="408"/>
      <c r="BQ1" s="408"/>
      <c r="BR1" s="409"/>
      <c r="BS1" s="409"/>
      <c r="BT1" s="409"/>
      <c r="BU1" s="409"/>
      <c r="BV1" s="409"/>
      <c r="BW1" s="409"/>
      <c r="BX1" s="409"/>
      <c r="BY1" s="409"/>
      <c r="BZ1" s="409"/>
      <c r="CA1" s="409"/>
      <c r="CB1" s="409"/>
      <c r="CC1" s="409"/>
      <c r="CD1" s="409"/>
      <c r="CE1" s="409"/>
      <c r="CF1" s="409"/>
      <c r="CG1" s="409"/>
      <c r="CH1" s="409"/>
      <c r="CI1" s="409"/>
      <c r="CJ1" s="409"/>
      <c r="CK1" s="409"/>
      <c r="CL1" s="409"/>
      <c r="CM1" s="409"/>
      <c r="CN1" s="409"/>
      <c r="CO1" s="409"/>
      <c r="CP1" s="409"/>
      <c r="CQ1" s="409"/>
      <c r="CR1" s="409"/>
      <c r="CS1" s="409"/>
      <c r="CT1" s="409"/>
      <c r="CU1" s="409"/>
      <c r="CV1" s="409"/>
      <c r="CW1" s="409"/>
      <c r="CX1" s="409"/>
      <c r="CY1" s="409"/>
      <c r="CZ1" s="409"/>
      <c r="DA1" s="409"/>
      <c r="DB1" s="409"/>
      <c r="DC1" s="409"/>
      <c r="DD1" s="409"/>
      <c r="DE1" s="409"/>
      <c r="DF1" s="409"/>
      <c r="DG1" s="409"/>
      <c r="DH1" s="409"/>
    </row>
    <row r="2" spans="1:112" s="407" customFormat="1" ht="15" x14ac:dyDescent="0.25">
      <c r="A2" s="309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  <c r="AQ2" s="408"/>
      <c r="AR2" s="408"/>
      <c r="AS2" s="408"/>
      <c r="AT2" s="408"/>
      <c r="AU2" s="408"/>
      <c r="AV2" s="408"/>
      <c r="AW2" s="408"/>
      <c r="AX2" s="408"/>
      <c r="AY2" s="154" t="s">
        <v>266</v>
      </c>
      <c r="AZ2" s="408"/>
      <c r="BA2" s="408"/>
      <c r="BB2" s="408"/>
      <c r="BC2" s="408"/>
      <c r="BD2" s="408"/>
      <c r="BE2" s="408"/>
      <c r="BF2" s="408"/>
      <c r="BG2" s="408"/>
      <c r="BH2" s="408"/>
      <c r="BI2" s="360"/>
      <c r="BJ2" s="360"/>
      <c r="BK2" s="360"/>
      <c r="BL2" s="409"/>
      <c r="BM2" s="408"/>
      <c r="BN2" s="408"/>
      <c r="BO2" s="408"/>
      <c r="BP2" s="408"/>
      <c r="BQ2" s="408"/>
      <c r="BR2" s="409"/>
      <c r="BS2" s="409"/>
      <c r="BT2" s="409"/>
      <c r="BU2" s="409"/>
      <c r="BV2" s="409"/>
      <c r="BW2" s="409"/>
      <c r="BX2" s="409"/>
      <c r="BY2" s="409"/>
      <c r="BZ2" s="409"/>
      <c r="CA2" s="409"/>
      <c r="CB2" s="409"/>
      <c r="CC2" s="409"/>
      <c r="CD2" s="409"/>
      <c r="CE2" s="409"/>
      <c r="CF2" s="409"/>
      <c r="CG2" s="409"/>
      <c r="CH2" s="409"/>
      <c r="CI2" s="409"/>
      <c r="CJ2" s="409"/>
      <c r="CK2" s="409"/>
      <c r="CL2" s="409"/>
      <c r="CM2" s="409"/>
      <c r="CN2" s="409"/>
      <c r="CO2" s="409"/>
      <c r="CP2" s="409"/>
      <c r="CQ2" s="409"/>
      <c r="CR2" s="409"/>
      <c r="CS2" s="409"/>
      <c r="CT2" s="409"/>
      <c r="CU2" s="409"/>
      <c r="CV2" s="409"/>
      <c r="CW2" s="409"/>
      <c r="CX2" s="409"/>
      <c r="CY2" s="409"/>
      <c r="CZ2" s="409"/>
      <c r="DA2" s="409"/>
      <c r="DB2" s="409"/>
      <c r="DC2" s="409"/>
      <c r="DD2" s="409"/>
      <c r="DE2" s="409"/>
      <c r="DF2" s="409"/>
      <c r="DG2" s="409"/>
      <c r="DH2" s="409"/>
    </row>
    <row r="3" spans="1:112" s="407" customFormat="1" ht="15" x14ac:dyDescent="0.25">
      <c r="A3" s="309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  <c r="AN3" s="408"/>
      <c r="AO3" s="408"/>
      <c r="AP3" s="408"/>
      <c r="AQ3" s="408"/>
      <c r="AR3" s="408"/>
      <c r="AS3" s="408"/>
      <c r="AT3" s="408"/>
      <c r="AU3" s="408"/>
      <c r="AV3" s="408"/>
      <c r="AW3" s="408"/>
      <c r="AX3" s="408"/>
      <c r="AY3" s="154" t="s">
        <v>267</v>
      </c>
      <c r="AZ3" s="408"/>
      <c r="BD3" s="408"/>
      <c r="BE3" s="408"/>
      <c r="BF3" s="408"/>
      <c r="BG3" s="408"/>
      <c r="BH3" s="408"/>
      <c r="BI3" s="360"/>
      <c r="BJ3" s="360"/>
      <c r="BK3" s="360"/>
      <c r="BL3" s="409"/>
      <c r="BM3" s="408"/>
      <c r="BN3" s="408"/>
      <c r="BO3" s="408"/>
      <c r="BP3" s="408"/>
      <c r="BQ3" s="408"/>
      <c r="BR3" s="409"/>
      <c r="BS3" s="409"/>
      <c r="BT3" s="409"/>
      <c r="BU3" s="409"/>
      <c r="BV3" s="409"/>
      <c r="BW3" s="409"/>
      <c r="BX3" s="409"/>
      <c r="BY3" s="409"/>
      <c r="BZ3" s="409"/>
      <c r="CA3" s="409"/>
      <c r="CB3" s="409"/>
      <c r="CC3" s="409"/>
      <c r="CD3" s="409"/>
      <c r="CE3" s="409"/>
      <c r="CF3" s="409"/>
      <c r="CG3" s="409"/>
      <c r="CH3" s="409"/>
      <c r="CI3" s="409"/>
      <c r="CJ3" s="409"/>
      <c r="CK3" s="409"/>
      <c r="CL3" s="409"/>
      <c r="CM3" s="409"/>
      <c r="CN3" s="409"/>
      <c r="CO3" s="409"/>
      <c r="CP3" s="409"/>
      <c r="CQ3" s="409"/>
      <c r="CR3" s="409"/>
      <c r="CS3" s="409"/>
      <c r="CT3" s="409"/>
      <c r="CU3" s="409"/>
      <c r="CV3" s="409"/>
      <c r="CW3" s="409"/>
      <c r="CX3" s="409"/>
      <c r="CY3" s="409"/>
      <c r="CZ3" s="409"/>
      <c r="DA3" s="409"/>
      <c r="DB3" s="409"/>
      <c r="DC3" s="409"/>
      <c r="DD3" s="409"/>
      <c r="DE3" s="409"/>
      <c r="DF3" s="409"/>
      <c r="DG3" s="409"/>
      <c r="DH3" s="409"/>
    </row>
    <row r="4" spans="1:112" s="372" customFormat="1" ht="15" x14ac:dyDescent="0.25">
      <c r="A4" s="362"/>
      <c r="C4" s="154"/>
      <c r="D4" s="154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23"/>
      <c r="R4" s="323"/>
      <c r="S4" s="323"/>
      <c r="T4" s="310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410"/>
      <c r="AU4" s="410"/>
      <c r="AV4" s="410"/>
      <c r="AW4" s="410"/>
      <c r="AX4" s="410"/>
      <c r="AY4" s="410" t="s">
        <v>268</v>
      </c>
      <c r="AZ4" s="410"/>
      <c r="BA4" s="459" t="s">
        <v>115</v>
      </c>
      <c r="BB4" s="459"/>
      <c r="BC4" s="459"/>
      <c r="BD4" s="408"/>
      <c r="BE4" s="137"/>
      <c r="BF4" s="408"/>
      <c r="BG4" s="323"/>
      <c r="BH4" s="323"/>
      <c r="BI4" s="360"/>
      <c r="BJ4" s="360"/>
      <c r="BK4" s="360"/>
      <c r="BL4" s="373"/>
      <c r="BM4" s="137"/>
      <c r="BN4" s="137"/>
      <c r="BO4" s="137"/>
      <c r="BP4" s="137"/>
      <c r="BQ4" s="137"/>
      <c r="BR4" s="373"/>
      <c r="BS4" s="373"/>
      <c r="BT4" s="373"/>
      <c r="BU4" s="373"/>
      <c r="BV4" s="373"/>
      <c r="BW4" s="373"/>
      <c r="BX4" s="373"/>
      <c r="BY4" s="373"/>
      <c r="BZ4" s="373"/>
      <c r="CA4" s="373"/>
      <c r="CB4" s="373"/>
      <c r="CC4" s="373"/>
      <c r="CD4" s="373"/>
      <c r="CE4" s="373"/>
      <c r="CF4" s="373"/>
      <c r="CG4" s="37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  <c r="DC4" s="373"/>
      <c r="DD4" s="373"/>
      <c r="DE4" s="373"/>
      <c r="DF4" s="373"/>
      <c r="DG4" s="373"/>
      <c r="DH4" s="373"/>
    </row>
    <row r="5" spans="1:112" s="372" customFormat="1" ht="15.75" thickBot="1" x14ac:dyDescent="0.3">
      <c r="A5" s="362"/>
      <c r="C5" s="469" t="s">
        <v>163</v>
      </c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142"/>
      <c r="S5" s="470" t="s">
        <v>177</v>
      </c>
      <c r="T5" s="470"/>
      <c r="U5" s="470"/>
      <c r="V5" s="470"/>
      <c r="W5" s="470"/>
      <c r="X5" s="470"/>
      <c r="Y5" s="470"/>
      <c r="Z5" s="470"/>
      <c r="AA5" s="470"/>
      <c r="AB5" s="470"/>
      <c r="AC5" s="470"/>
      <c r="AD5" s="142"/>
      <c r="AE5" s="470" t="s">
        <v>80</v>
      </c>
      <c r="AF5" s="470"/>
      <c r="AG5" s="470"/>
      <c r="AH5" s="376"/>
      <c r="AI5" s="471" t="s">
        <v>185</v>
      </c>
      <c r="AJ5" s="471"/>
      <c r="AK5" s="471"/>
      <c r="AL5" s="323"/>
      <c r="AM5" s="464" t="s">
        <v>141</v>
      </c>
      <c r="AN5" s="464"/>
      <c r="AO5" s="464"/>
      <c r="AP5" s="464"/>
      <c r="AQ5" s="464"/>
      <c r="AR5" s="464"/>
      <c r="AS5" s="464"/>
      <c r="AT5" s="464"/>
      <c r="AU5" s="464"/>
      <c r="AV5" s="464"/>
      <c r="AW5" s="464"/>
      <c r="AX5" s="411"/>
      <c r="AY5" s="410" t="s">
        <v>126</v>
      </c>
      <c r="AZ5" s="411"/>
      <c r="BA5" s="472" t="s">
        <v>116</v>
      </c>
      <c r="BB5" s="472"/>
      <c r="BC5" s="472"/>
      <c r="BD5" s="411"/>
      <c r="BE5" s="457" t="s">
        <v>196</v>
      </c>
      <c r="BF5" s="457"/>
      <c r="BG5" s="457"/>
      <c r="BH5" s="323"/>
      <c r="BI5" s="360"/>
      <c r="BJ5" s="360"/>
      <c r="BK5" s="360"/>
      <c r="BL5" s="373"/>
      <c r="BM5" s="137"/>
      <c r="BN5" s="137"/>
      <c r="BO5" s="137"/>
      <c r="BP5" s="137"/>
      <c r="BQ5" s="137"/>
      <c r="BR5" s="373"/>
      <c r="BS5" s="373"/>
      <c r="BT5" s="373"/>
      <c r="BU5" s="373"/>
      <c r="BV5" s="373"/>
      <c r="BW5" s="373"/>
      <c r="BX5" s="373"/>
      <c r="BY5" s="373"/>
      <c r="BZ5" s="373"/>
      <c r="CA5" s="373"/>
      <c r="CB5" s="373"/>
      <c r="CC5" s="373"/>
      <c r="CD5" s="373"/>
      <c r="CE5" s="373"/>
      <c r="CF5" s="373"/>
      <c r="CG5" s="37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  <c r="DC5" s="373"/>
      <c r="DD5" s="373"/>
      <c r="DE5" s="373"/>
      <c r="DF5" s="373"/>
      <c r="DG5" s="373"/>
      <c r="DH5" s="373"/>
    </row>
    <row r="6" spans="1:112" s="10" customFormat="1" ht="15" x14ac:dyDescent="0.2">
      <c r="A6" s="72"/>
      <c r="C6" s="382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4"/>
      <c r="R6" s="142"/>
      <c r="S6" s="172"/>
      <c r="T6" s="173"/>
      <c r="U6" s="173"/>
      <c r="V6" s="173"/>
      <c r="W6" s="173"/>
      <c r="X6" s="173"/>
      <c r="Y6" s="173"/>
      <c r="Z6" s="173"/>
      <c r="AA6" s="173"/>
      <c r="AB6" s="173"/>
      <c r="AC6" s="385" t="str">
        <f>+'Lead Sheet '!AC4</f>
        <v>Anthony</v>
      </c>
      <c r="AD6" s="142"/>
      <c r="AE6" s="172"/>
      <c r="AF6" s="173"/>
      <c r="AG6" s="174"/>
      <c r="AH6" s="267"/>
      <c r="AI6" s="386"/>
      <c r="AJ6" s="387"/>
      <c r="AK6" s="388" t="str">
        <f>+'Lead Sheet '!AO4</f>
        <v>Barbara</v>
      </c>
      <c r="AL6" s="282"/>
      <c r="AM6" s="103"/>
      <c r="AN6" s="104"/>
      <c r="AO6" s="104"/>
      <c r="AP6" s="104"/>
      <c r="AQ6" s="104"/>
      <c r="AR6" s="104"/>
      <c r="AS6" s="104"/>
      <c r="AT6" s="406"/>
      <c r="AU6" s="177"/>
      <c r="AV6" s="177"/>
      <c r="AW6" s="178"/>
      <c r="AX6" s="152"/>
      <c r="AY6" s="201"/>
      <c r="AZ6" s="152"/>
      <c r="BA6" s="176"/>
      <c r="BB6" s="93"/>
      <c r="BC6" s="171"/>
      <c r="BD6" s="63"/>
      <c r="BE6" s="172"/>
      <c r="BF6" s="173"/>
      <c r="BG6" s="174"/>
      <c r="BH6" s="63"/>
      <c r="BI6" s="79"/>
      <c r="BJ6" s="77"/>
      <c r="BK6" s="81"/>
      <c r="BL6" s="77"/>
      <c r="BM6" s="81"/>
      <c r="BN6" s="77"/>
      <c r="BO6" s="81"/>
      <c r="BP6" s="77"/>
      <c r="BQ6" s="82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</row>
    <row r="7" spans="1:112" s="10" customFormat="1" ht="15" x14ac:dyDescent="0.25">
      <c r="A7" s="61" t="s">
        <v>91</v>
      </c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106" t="str">
        <f>+'Lead Sheet '!AM5</f>
        <v>James</v>
      </c>
      <c r="AJ7" s="282"/>
      <c r="AK7" s="107" t="str">
        <f>+'Lead Sheet '!AO5</f>
        <v>BUTTERHOF</v>
      </c>
      <c r="AL7" s="282"/>
      <c r="AM7" s="106" t="s">
        <v>253</v>
      </c>
      <c r="AN7" s="282"/>
      <c r="AO7" s="95" t="s">
        <v>255</v>
      </c>
      <c r="AP7" s="282"/>
      <c r="AQ7" s="95" t="s">
        <v>257</v>
      </c>
      <c r="AR7" s="282"/>
      <c r="AS7" s="95" t="s">
        <v>259</v>
      </c>
      <c r="AT7" s="88"/>
      <c r="AU7" s="152" t="s">
        <v>261</v>
      </c>
      <c r="AV7" s="152"/>
      <c r="AW7" s="167" t="s">
        <v>263</v>
      </c>
      <c r="AX7" s="152"/>
      <c r="AY7" s="202" t="s">
        <v>102</v>
      </c>
      <c r="AZ7" s="152"/>
      <c r="BA7" s="166" t="s">
        <v>269</v>
      </c>
      <c r="BB7" s="96"/>
      <c r="BC7" s="184" t="s">
        <v>271</v>
      </c>
      <c r="BD7" s="63"/>
      <c r="BE7" s="155"/>
      <c r="BF7" s="137"/>
      <c r="BG7" s="156"/>
      <c r="BH7" s="63"/>
      <c r="BI7" s="78" t="s">
        <v>24</v>
      </c>
      <c r="BJ7" s="76"/>
      <c r="BK7" s="83" t="s">
        <v>24</v>
      </c>
      <c r="BL7" s="76"/>
      <c r="BM7" s="83" t="s">
        <v>24</v>
      </c>
      <c r="BN7" s="76"/>
      <c r="BO7" s="83" t="s">
        <v>24</v>
      </c>
      <c r="BP7" s="76"/>
      <c r="BQ7" s="84" t="s">
        <v>24</v>
      </c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</row>
    <row r="8" spans="1:112" s="10" customFormat="1" ht="14.25" x14ac:dyDescent="0.2">
      <c r="A8" s="61" t="s">
        <v>92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106" t="str">
        <f>+'Lead Sheet '!AM6</f>
        <v>BERTINO</v>
      </c>
      <c r="AJ8" s="282"/>
      <c r="AK8" s="107" t="str">
        <f>+'Lead Sheet '!AO6</f>
        <v>RHEAULT</v>
      </c>
      <c r="AL8" s="282"/>
      <c r="AM8" s="106" t="s">
        <v>254</v>
      </c>
      <c r="AN8" s="282"/>
      <c r="AO8" s="95" t="s">
        <v>256</v>
      </c>
      <c r="AP8" s="282"/>
      <c r="AQ8" s="95" t="s">
        <v>258</v>
      </c>
      <c r="AR8" s="282"/>
      <c r="AS8" s="95" t="s">
        <v>260</v>
      </c>
      <c r="AT8" s="88"/>
      <c r="AU8" s="152" t="s">
        <v>262</v>
      </c>
      <c r="AV8" s="152"/>
      <c r="AW8" s="167" t="s">
        <v>264</v>
      </c>
      <c r="AX8" s="152"/>
      <c r="AY8" s="202" t="s">
        <v>265</v>
      </c>
      <c r="AZ8" s="152"/>
      <c r="BA8" s="166" t="s">
        <v>270</v>
      </c>
      <c r="BB8" s="96"/>
      <c r="BC8" s="184" t="s">
        <v>272</v>
      </c>
      <c r="BD8" s="63"/>
      <c r="BE8" s="315" t="s">
        <v>106</v>
      </c>
      <c r="BF8" s="143"/>
      <c r="BG8" s="316" t="s">
        <v>107</v>
      </c>
      <c r="BH8" s="63"/>
      <c r="BI8" s="78" t="s">
        <v>83</v>
      </c>
      <c r="BJ8" s="76"/>
      <c r="BK8" s="83" t="s">
        <v>84</v>
      </c>
      <c r="BL8" s="76"/>
      <c r="BM8" s="83" t="s">
        <v>85</v>
      </c>
      <c r="BN8" s="76"/>
      <c r="BO8" s="83" t="s">
        <v>86</v>
      </c>
      <c r="BP8" s="76"/>
      <c r="BQ8" s="84" t="s">
        <v>87</v>
      </c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</row>
    <row r="9" spans="1:112" s="10" customFormat="1" ht="14.25" x14ac:dyDescent="0.2">
      <c r="A9" s="72"/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106" t="str">
        <f>+'Lead Sheet '!AM7</f>
        <v>Republican</v>
      </c>
      <c r="AJ9" s="282"/>
      <c r="AK9" s="107" t="str">
        <f>+'Lead Sheet '!AO7</f>
        <v>Democratic</v>
      </c>
      <c r="AL9" s="282"/>
      <c r="AM9" s="106" t="s">
        <v>93</v>
      </c>
      <c r="AN9" s="282"/>
      <c r="AO9" s="95" t="s">
        <v>93</v>
      </c>
      <c r="AP9" s="282"/>
      <c r="AQ9" s="95" t="s">
        <v>93</v>
      </c>
      <c r="AR9" s="282"/>
      <c r="AS9" s="95" t="s">
        <v>99</v>
      </c>
      <c r="AT9" s="88"/>
      <c r="AU9" s="95" t="s">
        <v>99</v>
      </c>
      <c r="AV9" s="152"/>
      <c r="AW9" s="107" t="s">
        <v>99</v>
      </c>
      <c r="AX9" s="152"/>
      <c r="AY9" s="202"/>
      <c r="AZ9" s="152"/>
      <c r="BA9" s="166"/>
      <c r="BB9" s="96"/>
      <c r="BC9" s="184"/>
      <c r="BD9" s="63"/>
      <c r="BE9" s="296"/>
      <c r="BF9" s="295"/>
      <c r="BG9" s="297"/>
      <c r="BH9" s="63"/>
      <c r="BI9" s="78" t="s">
        <v>89</v>
      </c>
      <c r="BJ9" s="76"/>
      <c r="BK9" s="83" t="s">
        <v>90</v>
      </c>
      <c r="BL9" s="76"/>
      <c r="BM9" s="83" t="s">
        <v>89</v>
      </c>
      <c r="BN9" s="76"/>
      <c r="BO9" s="83" t="s">
        <v>89</v>
      </c>
      <c r="BP9" s="76"/>
      <c r="BQ9" s="84" t="s">
        <v>89</v>
      </c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</row>
    <row r="10" spans="1:112" s="10" customFormat="1" ht="15" thickBot="1" x14ac:dyDescent="0.25">
      <c r="A10" s="72"/>
      <c r="C10" s="258"/>
      <c r="D10" s="259"/>
      <c r="E10" s="259"/>
      <c r="F10" s="260"/>
      <c r="G10" s="259"/>
      <c r="H10" s="260"/>
      <c r="I10" s="259"/>
      <c r="J10" s="260"/>
      <c r="K10" s="259"/>
      <c r="L10" s="260"/>
      <c r="M10" s="259"/>
      <c r="N10" s="260"/>
      <c r="O10" s="259"/>
      <c r="P10" s="265"/>
      <c r="Q10" s="261"/>
      <c r="R10" s="214"/>
      <c r="S10" s="258"/>
      <c r="T10" s="260"/>
      <c r="U10" s="259"/>
      <c r="V10" s="260"/>
      <c r="W10" s="259"/>
      <c r="X10" s="260"/>
      <c r="Y10" s="259"/>
      <c r="Z10" s="260"/>
      <c r="AA10" s="259"/>
      <c r="AB10" s="260"/>
      <c r="AC10" s="261" t="str">
        <f>+'Lead Sheet '!AC8</f>
        <v>Bought</v>
      </c>
      <c r="AD10" s="214"/>
      <c r="AE10" s="258"/>
      <c r="AF10" s="265"/>
      <c r="AG10" s="261"/>
      <c r="AH10" s="267"/>
      <c r="AI10" s="264"/>
      <c r="AJ10" s="265"/>
      <c r="AK10" s="266"/>
      <c r="AL10" s="282"/>
      <c r="AM10" s="120"/>
      <c r="AN10" s="281"/>
      <c r="AO10" s="281"/>
      <c r="AP10" s="281"/>
      <c r="AQ10" s="281"/>
      <c r="AR10" s="281"/>
      <c r="AS10" s="281"/>
      <c r="AT10" s="284"/>
      <c r="AU10" s="181"/>
      <c r="AV10" s="181"/>
      <c r="AW10" s="182"/>
      <c r="AX10" s="152"/>
      <c r="AY10" s="203"/>
      <c r="AZ10" s="152"/>
      <c r="BA10" s="179"/>
      <c r="BB10" s="99"/>
      <c r="BC10" s="200"/>
      <c r="BD10" s="63"/>
      <c r="BE10" s="337"/>
      <c r="BF10" s="330"/>
      <c r="BG10" s="346"/>
      <c r="BH10" s="63"/>
      <c r="BI10" s="80"/>
      <c r="BJ10" s="85"/>
      <c r="BK10" s="85"/>
      <c r="BL10" s="85"/>
      <c r="BM10" s="85"/>
      <c r="BN10" s="85"/>
      <c r="BO10" s="85"/>
      <c r="BP10" s="85"/>
      <c r="BQ10" s="86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</row>
    <row r="11" spans="1:112" x14ac:dyDescent="0.2">
      <c r="A11" s="9" t="s">
        <v>27</v>
      </c>
      <c r="C11" s="18">
        <f>25+28</f>
        <v>53</v>
      </c>
      <c r="D11" s="19"/>
      <c r="E11" s="18">
        <f>39+41</f>
        <v>80</v>
      </c>
      <c r="F11" s="19"/>
      <c r="G11" s="18">
        <f>1+1</f>
        <v>2</v>
      </c>
      <c r="H11" s="19"/>
      <c r="I11" s="18">
        <v>0</v>
      </c>
      <c r="J11" s="19"/>
      <c r="K11" s="18">
        <v>1</v>
      </c>
      <c r="L11" s="19"/>
      <c r="M11" s="18">
        <f>1+3</f>
        <v>4</v>
      </c>
      <c r="N11" s="19"/>
      <c r="O11" s="18">
        <v>1</v>
      </c>
      <c r="P11" s="19"/>
      <c r="Q11" s="18">
        <v>0</v>
      </c>
      <c r="R11" s="19"/>
      <c r="S11" s="18">
        <f>17+23</f>
        <v>40</v>
      </c>
      <c r="T11" s="19"/>
      <c r="U11" s="18">
        <f>44+51</f>
        <v>95</v>
      </c>
      <c r="V11" s="19"/>
      <c r="W11" s="18">
        <v>0</v>
      </c>
      <c r="X11" s="19"/>
      <c r="Y11" s="18">
        <v>0</v>
      </c>
      <c r="Z11" s="19"/>
      <c r="AA11" s="18">
        <v>1</v>
      </c>
      <c r="AB11" s="19"/>
      <c r="AC11" s="18">
        <v>1</v>
      </c>
      <c r="AD11" s="19"/>
      <c r="AE11" s="18">
        <f>18+26</f>
        <v>44</v>
      </c>
      <c r="AF11" s="19"/>
      <c r="AG11" s="18">
        <f>43+46</f>
        <v>89</v>
      </c>
      <c r="AH11" s="19"/>
      <c r="AI11" s="18">
        <f>16+24</f>
        <v>40</v>
      </c>
      <c r="AJ11" s="19"/>
      <c r="AK11" s="18">
        <f>46+49</f>
        <v>95</v>
      </c>
      <c r="AL11" s="19"/>
      <c r="AM11" s="18">
        <f>19+28</f>
        <v>47</v>
      </c>
      <c r="AN11" s="19"/>
      <c r="AO11" s="18">
        <f>18+29</f>
        <v>47</v>
      </c>
      <c r="AP11" s="19"/>
      <c r="AQ11" s="18">
        <f>19+29</f>
        <v>48</v>
      </c>
      <c r="AR11" s="19"/>
      <c r="AS11" s="18">
        <f>41+42</f>
        <v>83</v>
      </c>
      <c r="AT11" s="19"/>
      <c r="AU11" s="18">
        <f>42+41</f>
        <v>83</v>
      </c>
      <c r="AV11" s="19"/>
      <c r="AW11" s="18">
        <f>43+46</f>
        <v>89</v>
      </c>
      <c r="AX11" s="19"/>
      <c r="AY11" s="18">
        <f>37+43</f>
        <v>80</v>
      </c>
      <c r="AZ11" s="19"/>
      <c r="BA11" s="18">
        <f>33+36</f>
        <v>69</v>
      </c>
      <c r="BC11" s="18">
        <f>30+35</f>
        <v>65</v>
      </c>
      <c r="BE11" s="18">
        <f>21+28</f>
        <v>49</v>
      </c>
      <c r="BG11" s="18">
        <f>20+22</f>
        <v>42</v>
      </c>
      <c r="BI11" s="18">
        <f>66+76</f>
        <v>142</v>
      </c>
      <c r="BJ11" s="19"/>
      <c r="BK11" s="18">
        <v>75</v>
      </c>
      <c r="BM11" s="18">
        <v>0</v>
      </c>
      <c r="BN11" s="19"/>
      <c r="BO11" s="18"/>
      <c r="BP11" s="19"/>
      <c r="BQ11" s="18">
        <f t="shared" ref="BQ11:BQ16" si="0">+SUM(BI11:BO11)</f>
        <v>217</v>
      </c>
    </row>
    <row r="12" spans="1:112" x14ac:dyDescent="0.2">
      <c r="A12" s="9" t="s">
        <v>28</v>
      </c>
      <c r="C12" s="16">
        <f>54+20+23</f>
        <v>97</v>
      </c>
      <c r="D12" s="19"/>
      <c r="E12" s="16">
        <f>33+27+15</f>
        <v>75</v>
      </c>
      <c r="F12" s="19"/>
      <c r="G12" s="16">
        <f>1+3+1</f>
        <v>5</v>
      </c>
      <c r="H12" s="19"/>
      <c r="I12" s="16">
        <f>1+1</f>
        <v>2</v>
      </c>
      <c r="J12" s="19"/>
      <c r="K12" s="16">
        <f>1+1+1</f>
        <v>3</v>
      </c>
      <c r="L12" s="19"/>
      <c r="M12" s="16">
        <v>0</v>
      </c>
      <c r="N12" s="19"/>
      <c r="O12" s="16">
        <v>0</v>
      </c>
      <c r="P12" s="19"/>
      <c r="Q12" s="16">
        <v>1</v>
      </c>
      <c r="R12" s="19"/>
      <c r="S12" s="16">
        <f>48+17+23</f>
        <v>88</v>
      </c>
      <c r="T12" s="19"/>
      <c r="U12" s="16">
        <f>40+35+15</f>
        <v>90</v>
      </c>
      <c r="V12" s="19"/>
      <c r="W12" s="16">
        <v>1</v>
      </c>
      <c r="X12" s="19"/>
      <c r="Y12" s="16">
        <v>1</v>
      </c>
      <c r="Z12" s="19"/>
      <c r="AA12" s="16">
        <v>1</v>
      </c>
      <c r="AB12" s="19"/>
      <c r="AC12" s="16">
        <v>0</v>
      </c>
      <c r="AD12" s="19"/>
      <c r="AE12" s="16">
        <f>56+19+24</f>
        <v>99</v>
      </c>
      <c r="AF12" s="19"/>
      <c r="AG12" s="16">
        <f>32+31+16</f>
        <v>79</v>
      </c>
      <c r="AH12" s="19"/>
      <c r="AI12" s="16">
        <f>51+19+21</f>
        <v>91</v>
      </c>
      <c r="AJ12" s="19"/>
      <c r="AK12" s="16">
        <f>37+33+19</f>
        <v>89</v>
      </c>
      <c r="AL12" s="19"/>
      <c r="AM12" s="16">
        <f>57+29+22</f>
        <v>108</v>
      </c>
      <c r="AN12" s="19"/>
      <c r="AO12" s="16">
        <f>53+25+25</f>
        <v>103</v>
      </c>
      <c r="AP12" s="19"/>
      <c r="AQ12" s="16">
        <f>54+27+21</f>
        <v>102</v>
      </c>
      <c r="AR12" s="19"/>
      <c r="AS12" s="16">
        <f>30+25+18</f>
        <v>73</v>
      </c>
      <c r="AT12" s="19"/>
      <c r="AU12" s="16">
        <f>27+22+17</f>
        <v>66</v>
      </c>
      <c r="AV12" s="19"/>
      <c r="AW12" s="16">
        <f>30+24+18</f>
        <v>72</v>
      </c>
      <c r="AX12" s="19"/>
      <c r="AY12" s="16">
        <f>56+31+24</f>
        <v>111</v>
      </c>
      <c r="AZ12" s="19"/>
      <c r="BA12" s="16">
        <f>47+24+24</f>
        <v>95</v>
      </c>
      <c r="BC12" s="16">
        <f>49+21+17</f>
        <v>87</v>
      </c>
      <c r="BE12" s="16">
        <f>20+10+8</f>
        <v>38</v>
      </c>
      <c r="BG12" s="16">
        <f>41+24+19</f>
        <v>84</v>
      </c>
      <c r="BI12" s="16">
        <f>90+53+43</f>
        <v>186</v>
      </c>
      <c r="BJ12" s="19"/>
      <c r="BK12" s="16"/>
      <c r="BM12" s="16"/>
      <c r="BN12" s="19"/>
      <c r="BO12" s="16"/>
      <c r="BP12" s="19"/>
      <c r="BQ12" s="18">
        <f t="shared" si="0"/>
        <v>186</v>
      </c>
    </row>
    <row r="13" spans="1:112" x14ac:dyDescent="0.2">
      <c r="A13" s="9" t="s">
        <v>29</v>
      </c>
      <c r="C13" s="16">
        <f>68+61</f>
        <v>129</v>
      </c>
      <c r="D13" s="19"/>
      <c r="E13" s="16">
        <f>46+45</f>
        <v>91</v>
      </c>
      <c r="F13" s="19"/>
      <c r="G13" s="16">
        <f>2+6</f>
        <v>8</v>
      </c>
      <c r="H13" s="19"/>
      <c r="I13" s="16">
        <v>1</v>
      </c>
      <c r="J13" s="19"/>
      <c r="K13" s="16">
        <v>2</v>
      </c>
      <c r="L13" s="19"/>
      <c r="M13" s="16">
        <v>2</v>
      </c>
      <c r="N13" s="19"/>
      <c r="O13" s="16">
        <v>0</v>
      </c>
      <c r="P13" s="19"/>
      <c r="Q13" s="16">
        <v>0</v>
      </c>
      <c r="R13" s="19"/>
      <c r="S13" s="16">
        <f>57+52</f>
        <v>109</v>
      </c>
      <c r="T13" s="19"/>
      <c r="U13" s="16">
        <f>63+57</f>
        <v>120</v>
      </c>
      <c r="V13" s="19"/>
      <c r="W13" s="16">
        <v>0</v>
      </c>
      <c r="X13" s="19"/>
      <c r="Y13" s="16">
        <v>1</v>
      </c>
      <c r="Z13" s="19"/>
      <c r="AA13" s="16">
        <f>1+1</f>
        <v>2</v>
      </c>
      <c r="AB13" s="19"/>
      <c r="AC13" s="16">
        <v>0</v>
      </c>
      <c r="AD13" s="19"/>
      <c r="AE13" s="16">
        <f>71+60</f>
        <v>131</v>
      </c>
      <c r="AF13" s="19"/>
      <c r="AG13" s="16">
        <f>46+49</f>
        <v>95</v>
      </c>
      <c r="AH13" s="19"/>
      <c r="AI13" s="16">
        <f>61+59</f>
        <v>120</v>
      </c>
      <c r="AJ13" s="19"/>
      <c r="AK13" s="16">
        <f>54+51</f>
        <v>105</v>
      </c>
      <c r="AL13" s="19"/>
      <c r="AM13" s="16">
        <f>83+72</f>
        <v>155</v>
      </c>
      <c r="AN13" s="19"/>
      <c r="AO13" s="16">
        <f>76+65</f>
        <v>141</v>
      </c>
      <c r="AP13" s="19"/>
      <c r="AQ13" s="16">
        <f>80+72</f>
        <v>152</v>
      </c>
      <c r="AR13" s="19"/>
      <c r="AS13" s="16">
        <f>35+30</f>
        <v>65</v>
      </c>
      <c r="AT13" s="19"/>
      <c r="AU13" s="16">
        <f>37+37</f>
        <v>74</v>
      </c>
      <c r="AV13" s="19"/>
      <c r="AW13" s="16">
        <f>43+38</f>
        <v>81</v>
      </c>
      <c r="AX13" s="19"/>
      <c r="AY13" s="16">
        <f>69+54</f>
        <v>123</v>
      </c>
      <c r="AZ13" s="19"/>
      <c r="BA13" s="16">
        <f>57+50</f>
        <v>107</v>
      </c>
      <c r="BC13" s="16">
        <f>59+46</f>
        <v>105</v>
      </c>
      <c r="BE13" s="16">
        <f>27+27</f>
        <v>54</v>
      </c>
      <c r="BG13" s="16">
        <f>63+59</f>
        <v>122</v>
      </c>
      <c r="BI13" s="16">
        <f>122+117</f>
        <v>239</v>
      </c>
      <c r="BJ13" s="19"/>
      <c r="BK13" s="16"/>
      <c r="BM13" s="16"/>
      <c r="BN13" s="19"/>
      <c r="BO13" s="16"/>
      <c r="BP13" s="19"/>
      <c r="BQ13" s="18">
        <f t="shared" si="0"/>
        <v>239</v>
      </c>
    </row>
    <row r="14" spans="1:112" x14ac:dyDescent="0.2">
      <c r="A14" s="9" t="s">
        <v>30</v>
      </c>
      <c r="C14" s="16">
        <f>43+59</f>
        <v>102</v>
      </c>
      <c r="D14" s="19"/>
      <c r="E14" s="16">
        <f>62+57</f>
        <v>119</v>
      </c>
      <c r="F14" s="19"/>
      <c r="G14" s="16">
        <f>2+2</f>
        <v>4</v>
      </c>
      <c r="H14" s="19"/>
      <c r="I14" s="16">
        <v>1</v>
      </c>
      <c r="J14" s="19"/>
      <c r="K14" s="16">
        <v>0</v>
      </c>
      <c r="L14" s="19"/>
      <c r="M14" s="16">
        <f>1+1</f>
        <v>2</v>
      </c>
      <c r="N14" s="19"/>
      <c r="O14" s="16">
        <v>1</v>
      </c>
      <c r="P14" s="19"/>
      <c r="Q14" s="16">
        <v>1</v>
      </c>
      <c r="R14" s="19"/>
      <c r="S14" s="16">
        <f>37+51</f>
        <v>88</v>
      </c>
      <c r="T14" s="19"/>
      <c r="U14" s="16">
        <f>71+65</f>
        <v>136</v>
      </c>
      <c r="V14" s="19"/>
      <c r="W14" s="16">
        <f>1+1</f>
        <v>2</v>
      </c>
      <c r="X14" s="19"/>
      <c r="Y14" s="16">
        <v>1</v>
      </c>
      <c r="Z14" s="19"/>
      <c r="AA14" s="16">
        <v>2</v>
      </c>
      <c r="AB14" s="19"/>
      <c r="AC14" s="16">
        <v>0</v>
      </c>
      <c r="AD14" s="19"/>
      <c r="AE14" s="16">
        <f>43+58</f>
        <v>101</v>
      </c>
      <c r="AF14" s="19"/>
      <c r="AG14" s="16">
        <f>66+60</f>
        <v>126</v>
      </c>
      <c r="AH14" s="19"/>
      <c r="AI14" s="16">
        <f>39+51</f>
        <v>90</v>
      </c>
      <c r="AJ14" s="19"/>
      <c r="AK14" s="16">
        <f>69+67</f>
        <v>136</v>
      </c>
      <c r="AL14" s="19"/>
      <c r="AM14" s="16">
        <f>44+63</f>
        <v>107</v>
      </c>
      <c r="AN14" s="19"/>
      <c r="AO14" s="16">
        <f>41+60</f>
        <v>101</v>
      </c>
      <c r="AP14" s="19"/>
      <c r="AQ14" s="16">
        <f>47+58</f>
        <v>105</v>
      </c>
      <c r="AR14" s="19"/>
      <c r="AS14" s="16">
        <f>58+53</f>
        <v>111</v>
      </c>
      <c r="AT14" s="19"/>
      <c r="AU14" s="16">
        <f>61+61</f>
        <v>122</v>
      </c>
      <c r="AV14" s="35"/>
      <c r="AW14" s="16">
        <f>65+60</f>
        <v>125</v>
      </c>
      <c r="AX14" s="19"/>
      <c r="AY14" s="16">
        <f>73+82</f>
        <v>155</v>
      </c>
      <c r="AZ14" s="19"/>
      <c r="BA14" s="16">
        <f>63+75</f>
        <v>138</v>
      </c>
      <c r="BC14" s="16">
        <f>68+66</f>
        <v>134</v>
      </c>
      <c r="BE14" s="16">
        <f>37+35</f>
        <v>72</v>
      </c>
      <c r="BG14" s="16">
        <f>40+47</f>
        <v>87</v>
      </c>
      <c r="BI14" s="16">
        <f>113+122</f>
        <v>235</v>
      </c>
      <c r="BJ14" s="19"/>
      <c r="BK14" s="16">
        <v>72</v>
      </c>
      <c r="BM14" s="16">
        <v>57</v>
      </c>
      <c r="BN14" s="19"/>
      <c r="BO14" s="16"/>
      <c r="BP14" s="19"/>
      <c r="BQ14" s="18">
        <f t="shared" si="0"/>
        <v>364</v>
      </c>
    </row>
    <row r="15" spans="1:112" x14ac:dyDescent="0.2">
      <c r="A15" s="9" t="s">
        <v>31</v>
      </c>
      <c r="C15" s="16">
        <f>51+53</f>
        <v>104</v>
      </c>
      <c r="D15" s="19"/>
      <c r="E15" s="16">
        <f>48+46</f>
        <v>94</v>
      </c>
      <c r="F15" s="19"/>
      <c r="G15" s="16">
        <f>3+2</f>
        <v>5</v>
      </c>
      <c r="H15" s="19"/>
      <c r="I15" s="16">
        <v>0</v>
      </c>
      <c r="J15" s="19"/>
      <c r="K15" s="16">
        <v>1</v>
      </c>
      <c r="L15" s="19"/>
      <c r="M15" s="16">
        <v>3</v>
      </c>
      <c r="N15" s="19"/>
      <c r="O15" s="16">
        <v>0</v>
      </c>
      <c r="P15" s="19"/>
      <c r="Q15" s="16">
        <f>1+1</f>
        <v>2</v>
      </c>
      <c r="R15" s="19"/>
      <c r="S15" s="16">
        <f>46+49</f>
        <v>95</v>
      </c>
      <c r="T15" s="19"/>
      <c r="U15" s="16">
        <f>58+54</f>
        <v>112</v>
      </c>
      <c r="V15" s="19"/>
      <c r="W15" s="16">
        <v>1</v>
      </c>
      <c r="X15" s="19"/>
      <c r="Y15" s="16">
        <v>0</v>
      </c>
      <c r="Z15" s="19"/>
      <c r="AA15" s="16">
        <v>1</v>
      </c>
      <c r="AB15" s="19"/>
      <c r="AC15" s="16">
        <v>3</v>
      </c>
      <c r="AD15" s="19"/>
      <c r="AE15" s="16">
        <f>54+59</f>
        <v>113</v>
      </c>
      <c r="AF15" s="19"/>
      <c r="AG15" s="16">
        <f>49+42</f>
        <v>91</v>
      </c>
      <c r="AH15" s="19"/>
      <c r="AI15" s="16">
        <f>45+50</f>
        <v>95</v>
      </c>
      <c r="AJ15" s="19"/>
      <c r="AK15" s="16">
        <f>60+49</f>
        <v>109</v>
      </c>
      <c r="AL15" s="19"/>
      <c r="AM15" s="16">
        <f>59+57</f>
        <v>116</v>
      </c>
      <c r="AN15" s="19"/>
      <c r="AO15" s="16">
        <f>51+58</f>
        <v>109</v>
      </c>
      <c r="AP15" s="19"/>
      <c r="AQ15" s="16">
        <f>55+57</f>
        <v>112</v>
      </c>
      <c r="AR15" s="19"/>
      <c r="AS15" s="16">
        <f>43+38</f>
        <v>81</v>
      </c>
      <c r="AT15" s="19"/>
      <c r="AU15" s="16">
        <f>52+42</f>
        <v>94</v>
      </c>
      <c r="AV15" s="35"/>
      <c r="AW15" s="16">
        <f>48+44</f>
        <v>92</v>
      </c>
      <c r="AX15" s="19"/>
      <c r="AY15" s="16">
        <f>63+68</f>
        <v>131</v>
      </c>
      <c r="AZ15" s="19"/>
      <c r="BA15" s="16">
        <f>55+58</f>
        <v>113</v>
      </c>
      <c r="BC15" s="16">
        <f>62+67</f>
        <v>129</v>
      </c>
      <c r="BE15" s="16">
        <f>33+28</f>
        <v>61</v>
      </c>
      <c r="BG15" s="16">
        <f>49+45</f>
        <v>94</v>
      </c>
      <c r="BI15" s="16">
        <f>111+104</f>
        <v>215</v>
      </c>
      <c r="BJ15" s="19"/>
      <c r="BK15" s="16"/>
      <c r="BM15" s="16"/>
      <c r="BN15" s="19"/>
      <c r="BO15" s="16"/>
      <c r="BP15" s="19"/>
      <c r="BQ15" s="18">
        <f t="shared" si="0"/>
        <v>215</v>
      </c>
    </row>
    <row r="16" spans="1:112" s="10" customFormat="1" x14ac:dyDescent="0.2">
      <c r="A16" s="9" t="s">
        <v>32</v>
      </c>
      <c r="C16" s="16">
        <f>51+53</f>
        <v>104</v>
      </c>
      <c r="D16" s="19"/>
      <c r="E16" s="16">
        <f>44+51</f>
        <v>95</v>
      </c>
      <c r="F16" s="19"/>
      <c r="G16" s="16">
        <f>3+3</f>
        <v>6</v>
      </c>
      <c r="H16" s="19"/>
      <c r="I16" s="16">
        <v>2</v>
      </c>
      <c r="J16" s="19"/>
      <c r="K16" s="16">
        <v>1</v>
      </c>
      <c r="L16" s="19"/>
      <c r="M16" s="16">
        <v>0</v>
      </c>
      <c r="N16" s="19"/>
      <c r="O16" s="16">
        <v>0</v>
      </c>
      <c r="P16" s="19"/>
      <c r="Q16" s="16">
        <v>0</v>
      </c>
      <c r="R16" s="19"/>
      <c r="S16" s="16">
        <f>45+42</f>
        <v>87</v>
      </c>
      <c r="T16" s="19"/>
      <c r="U16" s="16">
        <f>53+62</f>
        <v>115</v>
      </c>
      <c r="V16" s="19"/>
      <c r="W16" s="16">
        <f>2+2</f>
        <v>4</v>
      </c>
      <c r="X16" s="19"/>
      <c r="Y16" s="16">
        <v>0</v>
      </c>
      <c r="Z16" s="19"/>
      <c r="AA16" s="16">
        <v>0</v>
      </c>
      <c r="AB16" s="19"/>
      <c r="AC16" s="16">
        <v>2</v>
      </c>
      <c r="AD16" s="19"/>
      <c r="AE16" s="16">
        <f>49+51</f>
        <v>100</v>
      </c>
      <c r="AF16" s="19"/>
      <c r="AG16" s="16">
        <f>51+52</f>
        <v>103</v>
      </c>
      <c r="AH16" s="19"/>
      <c r="AI16" s="16">
        <f>45+43</f>
        <v>88</v>
      </c>
      <c r="AJ16" s="19"/>
      <c r="AK16" s="16">
        <f>53+60</f>
        <v>113</v>
      </c>
      <c r="AL16" s="19"/>
      <c r="AM16" s="16">
        <f>58+57</f>
        <v>115</v>
      </c>
      <c r="AN16" s="19"/>
      <c r="AO16" s="16">
        <f>49+50</f>
        <v>99</v>
      </c>
      <c r="AP16" s="19"/>
      <c r="AQ16" s="16">
        <f>54+52</f>
        <v>106</v>
      </c>
      <c r="AR16" s="19"/>
      <c r="AS16" s="16">
        <f>43+47</f>
        <v>90</v>
      </c>
      <c r="AT16" s="19"/>
      <c r="AU16" s="16">
        <f>42+49</f>
        <v>91</v>
      </c>
      <c r="AV16" s="19"/>
      <c r="AW16" s="16">
        <f>49+55</f>
        <v>104</v>
      </c>
      <c r="AX16" s="19"/>
      <c r="AY16" s="16">
        <f>61+64</f>
        <v>125</v>
      </c>
      <c r="AZ16" s="19"/>
      <c r="BA16" s="16">
        <f>50+56</f>
        <v>106</v>
      </c>
      <c r="BB16" s="33"/>
      <c r="BC16" s="16">
        <f>54+54</f>
        <v>108</v>
      </c>
      <c r="BD16" s="33"/>
      <c r="BE16" s="16">
        <f>19+24</f>
        <v>43</v>
      </c>
      <c r="BF16" s="33"/>
      <c r="BG16" s="16">
        <f>52+52</f>
        <v>104</v>
      </c>
      <c r="BH16" s="33"/>
      <c r="BI16" s="16">
        <f>102+108</f>
        <v>210</v>
      </c>
      <c r="BJ16" s="20"/>
      <c r="BK16" s="16"/>
      <c r="BL16" s="20"/>
      <c r="BM16" s="16"/>
      <c r="BN16" s="20"/>
      <c r="BO16" s="16"/>
      <c r="BP16" s="20"/>
      <c r="BQ16" s="18">
        <f t="shared" si="0"/>
        <v>210</v>
      </c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</row>
    <row r="17" spans="1:112" s="44" customFormat="1" ht="13.5" thickBot="1" x14ac:dyDescent="0.25">
      <c r="A17" s="58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43"/>
      <c r="BC17" s="57"/>
      <c r="BD17" s="43"/>
      <c r="BE17" s="57"/>
      <c r="BF17" s="43"/>
      <c r="BG17" s="57"/>
      <c r="BH17" s="43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</row>
    <row r="18" spans="1:112" s="48" customFormat="1" ht="13.5" thickBot="1" x14ac:dyDescent="0.25">
      <c r="A18" s="3" t="s">
        <v>24</v>
      </c>
      <c r="C18" s="41">
        <f>+SUM(C11:C16)</f>
        <v>589</v>
      </c>
      <c r="D18" s="57"/>
      <c r="E18" s="41">
        <f>+SUM(E11:E16)</f>
        <v>554</v>
      </c>
      <c r="F18" s="57"/>
      <c r="G18" s="41">
        <f>+SUM(G11:G16)</f>
        <v>30</v>
      </c>
      <c r="H18" s="57"/>
      <c r="I18" s="41">
        <f>+SUM(I11:I16)</f>
        <v>6</v>
      </c>
      <c r="J18" s="57"/>
      <c r="K18" s="41">
        <f>+SUM(K11:K16)</f>
        <v>8</v>
      </c>
      <c r="L18" s="57"/>
      <c r="M18" s="41">
        <f>+SUM(M11:M16)</f>
        <v>11</v>
      </c>
      <c r="N18" s="57"/>
      <c r="O18" s="41">
        <f>+SUM(O11:O16)</f>
        <v>2</v>
      </c>
      <c r="P18" s="57"/>
      <c r="Q18" s="41">
        <f>+SUM(Q11:Q16)</f>
        <v>4</v>
      </c>
      <c r="R18" s="57"/>
      <c r="S18" s="41">
        <f>+SUM(S11:S16)</f>
        <v>507</v>
      </c>
      <c r="T18" s="57"/>
      <c r="U18" s="41">
        <f>+SUM(U11:U16)</f>
        <v>668</v>
      </c>
      <c r="V18" s="57"/>
      <c r="W18" s="41">
        <f>+SUM(W11:W16)</f>
        <v>8</v>
      </c>
      <c r="X18" s="57"/>
      <c r="Y18" s="41">
        <f>+SUM(Y11:Y16)</f>
        <v>3</v>
      </c>
      <c r="Z18" s="57"/>
      <c r="AA18" s="41">
        <f>+SUM(AA11:AA16)</f>
        <v>7</v>
      </c>
      <c r="AB18" s="57"/>
      <c r="AC18" s="41">
        <f>+SUM(AC11:AC16)</f>
        <v>6</v>
      </c>
      <c r="AD18" s="57"/>
      <c r="AE18" s="41">
        <f>+SUM(AE11:AE16)</f>
        <v>588</v>
      </c>
      <c r="AF18" s="57"/>
      <c r="AG18" s="41">
        <f>+SUM(AG11:AG16)</f>
        <v>583</v>
      </c>
      <c r="AH18" s="57"/>
      <c r="AI18" s="41">
        <f>+SUM(AI11:AI16)</f>
        <v>524</v>
      </c>
      <c r="AJ18" s="57"/>
      <c r="AK18" s="41">
        <f>+SUM(AK11:AK16)</f>
        <v>647</v>
      </c>
      <c r="AL18" s="57"/>
      <c r="AM18" s="41">
        <f>+SUM(AM11:AM16)</f>
        <v>648</v>
      </c>
      <c r="AN18" s="57"/>
      <c r="AO18" s="41">
        <f>+SUM(AO11:AO16)</f>
        <v>600</v>
      </c>
      <c r="AP18" s="57"/>
      <c r="AQ18" s="41">
        <f>+SUM(AQ11:AQ16)</f>
        <v>625</v>
      </c>
      <c r="AR18" s="57"/>
      <c r="AS18" s="41">
        <f>+SUM(AS11:AS16)</f>
        <v>503</v>
      </c>
      <c r="AT18" s="57"/>
      <c r="AU18" s="41">
        <f>+SUM(AU11:AU16)</f>
        <v>530</v>
      </c>
      <c r="AV18" s="57"/>
      <c r="AW18" s="41">
        <f>+SUM(AW11:AW16)</f>
        <v>563</v>
      </c>
      <c r="AX18" s="57"/>
      <c r="AY18" s="41">
        <f>+SUM(AY11:AY16)</f>
        <v>725</v>
      </c>
      <c r="AZ18" s="57"/>
      <c r="BA18" s="41">
        <f>+SUM(BA11:BA16)</f>
        <v>628</v>
      </c>
      <c r="BB18" s="43"/>
      <c r="BC18" s="41">
        <f>+SUM(BC11:BC16)</f>
        <v>628</v>
      </c>
      <c r="BD18" s="43"/>
      <c r="BE18" s="41">
        <f>+SUM(BE11:BE16)</f>
        <v>317</v>
      </c>
      <c r="BF18" s="43"/>
      <c r="BG18" s="41">
        <f>+SUM(BG11:BG16)</f>
        <v>533</v>
      </c>
      <c r="BH18" s="43"/>
      <c r="BI18" s="41">
        <f>+SUM(BI11:BI16)</f>
        <v>1227</v>
      </c>
      <c r="BJ18" s="42"/>
      <c r="BK18" s="41">
        <f>+SUM(BK11:BK16)</f>
        <v>147</v>
      </c>
      <c r="BL18" s="42"/>
      <c r="BM18" s="41">
        <f>+SUM(BM11:BM16)</f>
        <v>57</v>
      </c>
      <c r="BN18" s="42"/>
      <c r="BO18" s="41">
        <f>+SUM(BO11:BO16)</f>
        <v>0</v>
      </c>
      <c r="BP18" s="42"/>
      <c r="BQ18" s="41">
        <f>+SUM(BQ11:BQ16)</f>
        <v>1431</v>
      </c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</row>
    <row r="19" spans="1:112" x14ac:dyDescent="0.2">
      <c r="A19" s="36" t="s">
        <v>73</v>
      </c>
      <c r="C19" s="19">
        <f>32+31</f>
        <v>63</v>
      </c>
      <c r="D19" s="19"/>
      <c r="E19" s="19">
        <f>35+33</f>
        <v>68</v>
      </c>
      <c r="F19" s="19"/>
      <c r="G19" s="19">
        <f>3</f>
        <v>3</v>
      </c>
      <c r="H19" s="19"/>
      <c r="I19" s="19">
        <v>1</v>
      </c>
      <c r="J19" s="19"/>
      <c r="K19" s="19">
        <v>0</v>
      </c>
      <c r="L19" s="19"/>
      <c r="M19" s="19">
        <v>1</v>
      </c>
      <c r="N19" s="19"/>
      <c r="O19" s="19">
        <v>1</v>
      </c>
      <c r="P19" s="19"/>
      <c r="Q19" s="19">
        <v>0</v>
      </c>
      <c r="R19" s="19"/>
      <c r="S19" s="19">
        <f>23+26</f>
        <v>49</v>
      </c>
      <c r="T19" s="19"/>
      <c r="U19" s="19">
        <f>48+42</f>
        <v>90</v>
      </c>
      <c r="V19" s="19"/>
      <c r="W19" s="19">
        <v>0</v>
      </c>
      <c r="X19" s="19"/>
      <c r="Y19" s="19">
        <v>0</v>
      </c>
      <c r="Z19" s="19"/>
      <c r="AA19" s="19">
        <v>0</v>
      </c>
      <c r="AB19" s="19"/>
      <c r="AC19" s="19">
        <v>0</v>
      </c>
      <c r="AD19" s="19"/>
      <c r="AE19" s="19">
        <f>30+28</f>
        <v>58</v>
      </c>
      <c r="AF19" s="19"/>
      <c r="AG19" s="19">
        <f>43+36</f>
        <v>79</v>
      </c>
      <c r="AH19" s="19"/>
      <c r="AI19" s="19">
        <f>29+23</f>
        <v>52</v>
      </c>
      <c r="AJ19" s="19"/>
      <c r="AK19" s="19">
        <f>32+31</f>
        <v>63</v>
      </c>
      <c r="AL19" s="19"/>
      <c r="AM19" s="19">
        <f>50+38</f>
        <v>88</v>
      </c>
      <c r="AN19" s="19"/>
      <c r="AO19" s="19">
        <f>49+33</f>
        <v>82</v>
      </c>
      <c r="AP19" s="19"/>
      <c r="AQ19" s="19">
        <f>47+34</f>
        <v>81</v>
      </c>
      <c r="AR19" s="19"/>
      <c r="AS19" s="19">
        <f>24+31</f>
        <v>55</v>
      </c>
      <c r="AT19" s="19"/>
      <c r="AU19" s="19">
        <f>24+34</f>
        <v>58</v>
      </c>
      <c r="AV19" s="19"/>
      <c r="AW19" s="19">
        <f>21+33</f>
        <v>54</v>
      </c>
      <c r="AX19" s="19"/>
      <c r="AY19" s="19">
        <f>32+47</f>
        <v>79</v>
      </c>
      <c r="AZ19" s="19"/>
      <c r="BA19" s="19">
        <f>27+41</f>
        <v>68</v>
      </c>
      <c r="BC19" s="19">
        <f>31+40</f>
        <v>71</v>
      </c>
      <c r="BD19" s="19"/>
      <c r="BE19" s="19">
        <f>27+22</f>
        <v>49</v>
      </c>
      <c r="BF19" s="19"/>
      <c r="BG19" s="19">
        <f>29+29</f>
        <v>58</v>
      </c>
      <c r="BH19" s="19"/>
    </row>
    <row r="20" spans="1:112" s="37" customFormat="1" x14ac:dyDescent="0.2">
      <c r="A20" s="36" t="s">
        <v>25</v>
      </c>
      <c r="C20" s="19">
        <v>21</v>
      </c>
      <c r="D20" s="19"/>
      <c r="E20" s="19">
        <v>27</v>
      </c>
      <c r="F20" s="19"/>
      <c r="G20" s="19">
        <v>1</v>
      </c>
      <c r="H20" s="19"/>
      <c r="I20" s="19">
        <v>0</v>
      </c>
      <c r="J20" s="19"/>
      <c r="K20" s="19">
        <v>0</v>
      </c>
      <c r="L20" s="19"/>
      <c r="M20" s="19">
        <v>0</v>
      </c>
      <c r="N20" s="19"/>
      <c r="O20" s="19">
        <v>0</v>
      </c>
      <c r="P20" s="19"/>
      <c r="Q20" s="19">
        <v>0</v>
      </c>
      <c r="R20" s="19"/>
      <c r="S20" s="19">
        <v>17</v>
      </c>
      <c r="T20" s="19"/>
      <c r="U20" s="19">
        <v>32</v>
      </c>
      <c r="V20" s="19"/>
      <c r="W20" s="19">
        <v>0</v>
      </c>
      <c r="X20" s="19"/>
      <c r="Y20" s="19">
        <v>0</v>
      </c>
      <c r="Z20" s="19"/>
      <c r="AA20" s="19">
        <v>0</v>
      </c>
      <c r="AB20" s="19"/>
      <c r="AC20" s="19">
        <v>0</v>
      </c>
      <c r="AD20" s="19"/>
      <c r="AE20" s="19">
        <v>18</v>
      </c>
      <c r="AF20" s="19"/>
      <c r="AG20" s="19">
        <v>32</v>
      </c>
      <c r="AH20" s="19"/>
      <c r="AI20" s="19">
        <v>16</v>
      </c>
      <c r="AJ20" s="19"/>
      <c r="AK20" s="19">
        <v>36</v>
      </c>
      <c r="AL20" s="19"/>
      <c r="AM20" s="19">
        <v>24</v>
      </c>
      <c r="AN20" s="19"/>
      <c r="AO20" s="19">
        <v>21</v>
      </c>
      <c r="AP20" s="19"/>
      <c r="AQ20" s="19">
        <v>23</v>
      </c>
      <c r="AR20" s="19"/>
      <c r="AS20" s="19">
        <v>30</v>
      </c>
      <c r="AT20" s="19"/>
      <c r="AU20" s="19">
        <v>28</v>
      </c>
      <c r="AV20" s="19"/>
      <c r="AW20" s="19">
        <v>32</v>
      </c>
      <c r="AX20" s="19"/>
      <c r="AY20" s="19">
        <v>23</v>
      </c>
      <c r="AZ20" s="19"/>
      <c r="BA20" s="19">
        <v>19</v>
      </c>
      <c r="BB20" s="33"/>
      <c r="BC20" s="19">
        <v>19</v>
      </c>
      <c r="BD20" s="19"/>
      <c r="BE20" s="19">
        <v>16</v>
      </c>
      <c r="BF20" s="19"/>
      <c r="BG20" s="19">
        <v>17</v>
      </c>
      <c r="BH20" s="19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</row>
    <row r="21" spans="1:112" ht="13.5" thickBot="1" x14ac:dyDescent="0.25">
      <c r="A21" s="4" t="s">
        <v>79</v>
      </c>
      <c r="C21" s="19">
        <v>2</v>
      </c>
      <c r="D21" s="19"/>
      <c r="E21" s="19">
        <v>5</v>
      </c>
      <c r="F21" s="19"/>
      <c r="G21" s="19">
        <v>0</v>
      </c>
      <c r="H21" s="19"/>
      <c r="I21" s="19">
        <v>0</v>
      </c>
      <c r="J21" s="19"/>
      <c r="K21" s="19">
        <v>0</v>
      </c>
      <c r="L21" s="19"/>
      <c r="M21" s="19">
        <v>0</v>
      </c>
      <c r="N21" s="19"/>
      <c r="O21" s="19">
        <v>0</v>
      </c>
      <c r="P21" s="19"/>
      <c r="Q21" s="19">
        <v>0</v>
      </c>
      <c r="R21" s="19"/>
      <c r="S21" s="19">
        <v>2</v>
      </c>
      <c r="T21" s="19"/>
      <c r="U21" s="19">
        <v>5</v>
      </c>
      <c r="V21" s="19"/>
      <c r="W21" s="19">
        <v>0</v>
      </c>
      <c r="X21" s="19"/>
      <c r="Y21" s="19">
        <v>0</v>
      </c>
      <c r="Z21" s="19"/>
      <c r="AA21" s="19">
        <v>0</v>
      </c>
      <c r="AB21" s="19"/>
      <c r="AC21" s="19">
        <v>0</v>
      </c>
      <c r="AD21" s="19"/>
      <c r="AE21" s="19">
        <v>2</v>
      </c>
      <c r="AF21" s="19"/>
      <c r="AG21" s="19">
        <v>5</v>
      </c>
      <c r="AH21" s="19"/>
      <c r="AI21" s="19">
        <v>0</v>
      </c>
      <c r="AJ21" s="19"/>
      <c r="AK21" s="19">
        <v>0</v>
      </c>
      <c r="AL21" s="19"/>
      <c r="AM21" s="19">
        <v>0</v>
      </c>
      <c r="AN21" s="19"/>
      <c r="AO21" s="19">
        <v>0</v>
      </c>
      <c r="AP21" s="19"/>
      <c r="AQ21" s="19">
        <v>0</v>
      </c>
      <c r="AR21" s="19"/>
      <c r="AS21" s="19">
        <v>1</v>
      </c>
      <c r="AT21" s="19"/>
      <c r="AU21" s="19">
        <v>1</v>
      </c>
      <c r="AV21" s="19"/>
      <c r="AW21" s="19">
        <v>1</v>
      </c>
      <c r="AX21" s="19"/>
      <c r="AY21" s="19">
        <v>0</v>
      </c>
      <c r="AZ21" s="19"/>
      <c r="BA21" s="19">
        <v>0</v>
      </c>
      <c r="BC21" s="19">
        <v>0</v>
      </c>
      <c r="BD21" s="19"/>
      <c r="BE21" s="19">
        <v>0</v>
      </c>
      <c r="BF21" s="19"/>
      <c r="BG21" s="19">
        <v>2</v>
      </c>
      <c r="BH21" s="19"/>
    </row>
    <row r="22" spans="1:112" s="48" customFormat="1" ht="13.5" thickBot="1" x14ac:dyDescent="0.25">
      <c r="A22" s="3" t="s">
        <v>26</v>
      </c>
      <c r="C22" s="41">
        <f>+SUM(C18:C21)</f>
        <v>675</v>
      </c>
      <c r="D22" s="57"/>
      <c r="E22" s="41">
        <f>+SUM(E18:E21)</f>
        <v>654</v>
      </c>
      <c r="F22" s="57"/>
      <c r="G22" s="41">
        <f>+SUM(G18:G21)</f>
        <v>34</v>
      </c>
      <c r="H22" s="57"/>
      <c r="I22" s="41">
        <f>+SUM(I18:I21)</f>
        <v>7</v>
      </c>
      <c r="J22" s="57"/>
      <c r="K22" s="41">
        <f>+SUM(K18:K21)</f>
        <v>8</v>
      </c>
      <c r="L22" s="57"/>
      <c r="M22" s="41">
        <f>+SUM(M18:M21)</f>
        <v>12</v>
      </c>
      <c r="N22" s="57"/>
      <c r="O22" s="41">
        <f>+SUM(O18:O21)</f>
        <v>3</v>
      </c>
      <c r="P22" s="57"/>
      <c r="Q22" s="41">
        <f>+SUM(Q18:Q21)</f>
        <v>4</v>
      </c>
      <c r="R22" s="57"/>
      <c r="S22" s="41">
        <f>+SUM(S18:S21)</f>
        <v>575</v>
      </c>
      <c r="T22" s="57"/>
      <c r="U22" s="41">
        <f>+SUM(U18:U21)</f>
        <v>795</v>
      </c>
      <c r="V22" s="57"/>
      <c r="W22" s="41">
        <f>+SUM(W18:W21)</f>
        <v>8</v>
      </c>
      <c r="X22" s="57"/>
      <c r="Y22" s="41">
        <f>+SUM(Y18:Y21)</f>
        <v>3</v>
      </c>
      <c r="Z22" s="57"/>
      <c r="AA22" s="41">
        <f>+SUM(AA18:AA21)</f>
        <v>7</v>
      </c>
      <c r="AB22" s="57"/>
      <c r="AC22" s="41">
        <f>+SUM(AC18:AC21)</f>
        <v>6</v>
      </c>
      <c r="AD22" s="57"/>
      <c r="AE22" s="41">
        <f>+SUM(AE18:AE21)</f>
        <v>666</v>
      </c>
      <c r="AF22" s="57"/>
      <c r="AG22" s="41">
        <f>+SUM(AG18:AG21)</f>
        <v>699</v>
      </c>
      <c r="AH22" s="57"/>
      <c r="AI22" s="41">
        <f>+SUM(AI18:AI21)</f>
        <v>592</v>
      </c>
      <c r="AJ22" s="57"/>
      <c r="AK22" s="41">
        <f>+SUM(AK18:AK21)</f>
        <v>746</v>
      </c>
      <c r="AL22" s="57"/>
      <c r="AM22" s="41">
        <f>+SUM(AM18:AM21)</f>
        <v>760</v>
      </c>
      <c r="AN22" s="57"/>
      <c r="AO22" s="41">
        <f>+SUM(AO18:AO21)</f>
        <v>703</v>
      </c>
      <c r="AP22" s="57"/>
      <c r="AQ22" s="41">
        <f>+SUM(AQ18:AQ21)</f>
        <v>729</v>
      </c>
      <c r="AR22" s="57"/>
      <c r="AS22" s="41">
        <f>+SUM(AS18:AS21)</f>
        <v>589</v>
      </c>
      <c r="AT22" s="57"/>
      <c r="AU22" s="41">
        <f>+SUM(AU18:AU21)</f>
        <v>617</v>
      </c>
      <c r="AV22" s="57"/>
      <c r="AW22" s="41">
        <f>+SUM(AW18:AW21)</f>
        <v>650</v>
      </c>
      <c r="AX22" s="57"/>
      <c r="AY22" s="41">
        <f>+SUM(AY18:AY21)</f>
        <v>827</v>
      </c>
      <c r="AZ22" s="57"/>
      <c r="BA22" s="41">
        <f>+SUM(BA18:BA21)</f>
        <v>715</v>
      </c>
      <c r="BB22" s="43"/>
      <c r="BC22" s="41">
        <f>+SUM(BC18:BC21)</f>
        <v>718</v>
      </c>
      <c r="BD22" s="43"/>
      <c r="BE22" s="41">
        <f>+SUM(BE18:BE21)</f>
        <v>382</v>
      </c>
      <c r="BF22" s="43"/>
      <c r="BG22" s="41">
        <f>+SUM(BG18:BG21)</f>
        <v>610</v>
      </c>
      <c r="BH22" s="43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</row>
    <row r="23" spans="1:112" s="10" customFormat="1" x14ac:dyDescent="0.2">
      <c r="A23" s="3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33"/>
      <c r="BC23" s="19"/>
      <c r="BD23" s="33"/>
      <c r="BE23" s="19"/>
      <c r="BF23" s="33"/>
      <c r="BG23" s="19"/>
      <c r="BH23" s="33"/>
      <c r="BI23" s="1"/>
      <c r="BJ23" s="1"/>
      <c r="BK23" s="1"/>
      <c r="BL23" s="20"/>
      <c r="BM23" s="19"/>
      <c r="BN23" s="19"/>
      <c r="BO23" s="19"/>
      <c r="BP23" s="19"/>
      <c r="BQ23" s="19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</row>
    <row r="24" spans="1:112" s="10" customFormat="1" x14ac:dyDescent="0.2">
      <c r="A24" s="3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33"/>
      <c r="BC24" s="19"/>
      <c r="BD24" s="33"/>
      <c r="BE24" s="19"/>
      <c r="BF24" s="33"/>
      <c r="BG24" s="19"/>
      <c r="BH24" s="33"/>
      <c r="BI24" s="1"/>
      <c r="BJ24" s="1"/>
      <c r="BK24" s="1"/>
      <c r="BL24" s="20"/>
      <c r="BM24" s="19"/>
      <c r="BN24" s="19"/>
      <c r="BO24" s="19"/>
      <c r="BP24" s="19"/>
      <c r="BQ24" s="19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</row>
    <row r="25" spans="1:112" x14ac:dyDescent="0.2">
      <c r="A25" s="4"/>
      <c r="BB25" s="1"/>
      <c r="BD25" s="1"/>
      <c r="BF25" s="1"/>
      <c r="BH25" s="1"/>
      <c r="BI25" s="19"/>
      <c r="BJ25" s="19"/>
      <c r="BK25" s="19"/>
      <c r="BM25" s="19"/>
      <c r="BN25" s="19"/>
      <c r="BO25" s="19"/>
      <c r="BP25" s="19"/>
      <c r="BQ25" s="19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</row>
    <row r="26" spans="1:112" x14ac:dyDescent="0.2">
      <c r="A26" s="39"/>
      <c r="BB26" s="1"/>
      <c r="BD26" s="1"/>
      <c r="BF26" s="1"/>
      <c r="BH26" s="1"/>
      <c r="BI26" s="19"/>
      <c r="BJ26" s="19"/>
      <c r="BK26" s="19"/>
      <c r="BM26" s="19"/>
      <c r="BN26" s="19"/>
      <c r="BO26" s="19"/>
      <c r="BP26" s="19"/>
      <c r="BQ26" s="19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</row>
    <row r="27" spans="1:112" x14ac:dyDescent="0.2">
      <c r="BB27" s="1"/>
      <c r="BD27" s="1"/>
      <c r="BF27" s="1"/>
      <c r="BH27" s="1"/>
      <c r="BI27" s="19"/>
      <c r="BJ27" s="19"/>
      <c r="BK27" s="19"/>
      <c r="BM27" s="19"/>
      <c r="BN27" s="19"/>
      <c r="BO27" s="19"/>
      <c r="BP27" s="19"/>
      <c r="BQ27" s="19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</row>
    <row r="28" spans="1:112" x14ac:dyDescent="0.2">
      <c r="BB28" s="1"/>
      <c r="BD28" s="1"/>
      <c r="BF28" s="1"/>
      <c r="BH28" s="1"/>
      <c r="BI28" s="19"/>
      <c r="BJ28" s="19"/>
      <c r="BK28" s="19"/>
      <c r="BM28" s="19"/>
      <c r="BN28" s="19"/>
      <c r="BO28" s="19"/>
      <c r="BP28" s="19"/>
      <c r="BQ28" s="19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</row>
    <row r="29" spans="1:112" x14ac:dyDescent="0.2">
      <c r="BM29" s="19"/>
      <c r="BN29" s="19"/>
      <c r="BO29" s="19"/>
      <c r="BP29" s="19"/>
      <c r="BQ29" s="19"/>
    </row>
    <row r="30" spans="1:112" x14ac:dyDescent="0.2">
      <c r="F30" s="54"/>
      <c r="H30" s="54"/>
      <c r="J30" s="54"/>
      <c r="L30" s="54"/>
      <c r="N30" s="54"/>
      <c r="P30" s="54"/>
      <c r="R30" s="54"/>
      <c r="T30" s="54"/>
      <c r="V30" s="54"/>
      <c r="X30" s="54"/>
      <c r="Z30" s="54"/>
      <c r="AB30" s="54"/>
      <c r="AD30" s="54"/>
      <c r="AF30" s="54"/>
      <c r="AH30" s="54"/>
      <c r="AJ30" s="54"/>
      <c r="AL30" s="54"/>
      <c r="AN30" s="54"/>
      <c r="AP30" s="54"/>
      <c r="AR30" s="54"/>
      <c r="AT30" s="54"/>
      <c r="AV30" s="54"/>
      <c r="AX30" s="54"/>
      <c r="BM30" s="19"/>
      <c r="BN30" s="19"/>
      <c r="BO30" s="19"/>
      <c r="BP30" s="19"/>
      <c r="BQ30" s="19"/>
    </row>
    <row r="31" spans="1:112" x14ac:dyDescent="0.2">
      <c r="F31" s="53"/>
      <c r="H31" s="53"/>
      <c r="J31" s="53"/>
      <c r="L31" s="53"/>
      <c r="N31" s="53"/>
      <c r="P31" s="53"/>
      <c r="R31" s="53"/>
      <c r="T31" s="53"/>
      <c r="V31" s="53"/>
      <c r="X31" s="53"/>
      <c r="Z31" s="53"/>
      <c r="AB31" s="53"/>
      <c r="AD31" s="53"/>
      <c r="AF31" s="53"/>
      <c r="AH31" s="53"/>
      <c r="AJ31" s="53"/>
      <c r="AL31" s="53"/>
      <c r="AN31" s="53"/>
      <c r="AP31" s="53"/>
      <c r="AR31" s="53"/>
      <c r="AT31" s="53"/>
      <c r="AV31" s="53"/>
      <c r="AX31" s="53"/>
      <c r="BM31" s="20"/>
      <c r="BN31" s="20"/>
      <c r="BO31" s="20"/>
      <c r="BP31" s="20"/>
      <c r="BQ31" s="20"/>
    </row>
    <row r="34" spans="1:59" x14ac:dyDescent="0.2">
      <c r="A34" s="3"/>
    </row>
    <row r="35" spans="1:59" x14ac:dyDescent="0.2">
      <c r="C35" s="1"/>
      <c r="D35" s="19"/>
      <c r="E35" s="1"/>
      <c r="F35" s="19"/>
      <c r="G35" s="1"/>
      <c r="H35" s="19"/>
      <c r="I35" s="1"/>
      <c r="J35" s="19"/>
      <c r="K35" s="1"/>
      <c r="L35" s="19"/>
      <c r="M35" s="1"/>
      <c r="N35" s="19"/>
      <c r="O35" s="1"/>
      <c r="P35" s="19"/>
      <c r="Q35" s="1"/>
      <c r="R35" s="19"/>
      <c r="S35" s="1"/>
      <c r="T35" s="19"/>
      <c r="U35" s="1"/>
      <c r="V35" s="19"/>
      <c r="W35" s="1"/>
      <c r="X35" s="19"/>
      <c r="Y35" s="1"/>
      <c r="Z35" s="19"/>
      <c r="AA35" s="1"/>
      <c r="AB35" s="19"/>
      <c r="AC35" s="1"/>
      <c r="AD35" s="19"/>
      <c r="AE35" s="1"/>
      <c r="AF35" s="19"/>
      <c r="AG35" s="1"/>
      <c r="AH35" s="19"/>
      <c r="AI35" s="1"/>
      <c r="AJ35" s="19"/>
      <c r="AK35" s="1"/>
      <c r="AL35" s="19"/>
      <c r="AM35" s="1"/>
      <c r="AN35" s="19"/>
      <c r="AO35" s="1"/>
      <c r="AP35" s="19"/>
      <c r="AQ35" s="1"/>
      <c r="AS35" s="1"/>
      <c r="AU35" s="1"/>
      <c r="AW35" s="1"/>
      <c r="AY35" s="1"/>
      <c r="BA35" s="1"/>
      <c r="BC35" s="1"/>
      <c r="BE35" s="1"/>
      <c r="BG35" s="1"/>
    </row>
    <row r="36" spans="1:59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C36" s="37"/>
      <c r="BE36" s="37"/>
      <c r="BG36" s="37"/>
    </row>
    <row r="37" spans="1:59" x14ac:dyDescent="0.2">
      <c r="C37" s="1"/>
      <c r="D37" s="19"/>
      <c r="E37" s="1"/>
      <c r="F37" s="19"/>
      <c r="G37" s="1"/>
      <c r="H37" s="19"/>
      <c r="I37" s="1"/>
      <c r="J37" s="19"/>
      <c r="K37" s="1"/>
      <c r="L37" s="19"/>
      <c r="M37" s="1"/>
      <c r="N37" s="19"/>
      <c r="O37" s="1"/>
      <c r="P37" s="19"/>
      <c r="Q37" s="1"/>
      <c r="R37" s="19"/>
      <c r="S37" s="1"/>
      <c r="T37" s="19"/>
      <c r="U37" s="1"/>
      <c r="V37" s="19"/>
      <c r="W37" s="1"/>
      <c r="X37" s="19"/>
      <c r="Y37" s="1"/>
      <c r="Z37" s="19"/>
      <c r="AA37" s="1"/>
      <c r="AB37" s="19"/>
      <c r="AC37" s="1"/>
      <c r="AD37" s="19"/>
      <c r="AE37" s="1"/>
      <c r="AF37" s="19"/>
      <c r="AG37" s="1"/>
      <c r="AH37" s="19"/>
      <c r="AI37" s="1"/>
      <c r="AJ37" s="19"/>
      <c r="AK37" s="1"/>
      <c r="AL37" s="19"/>
      <c r="AM37" s="1"/>
      <c r="AN37" s="19"/>
      <c r="AO37" s="1"/>
      <c r="AP37" s="19"/>
      <c r="AQ37" s="1"/>
      <c r="AS37" s="1"/>
      <c r="AU37" s="1"/>
      <c r="AW37" s="1"/>
      <c r="AY37" s="1"/>
      <c r="BA37" s="1"/>
      <c r="BC37" s="1"/>
      <c r="BE37" s="1"/>
      <c r="BG37" s="1"/>
    </row>
    <row r="38" spans="1:59" x14ac:dyDescent="0.2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C38" s="10"/>
      <c r="BE38" s="10"/>
      <c r="BG38" s="10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C9" sqref="C9:O14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&amp;C&amp;"Arial,Bold"&amp;11City of Egg Harbor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view="pageBreakPreview">
      <pane xSplit="1" ySplit="5" topLeftCell="V6" activePane="bottomRight" state="frozen"/>
      <selection pane="bottomRight" activeCell="AQ14" sqref="AQ14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&amp;C&amp;"Arial,Bold"&amp;11City of Egg Harbor
General Election - November 3, 2015
Prepared by the Office of Edward P. McGettigan, Atlantic County Clerk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V6" activePane="bottomRight" state="frozen"/>
      <selection pane="bottomRight" activeCell="AQ14" sqref="AQ14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&amp;C&amp;"Arial,Bold"&amp;11City of Egg Harbor
General Election - November 3, 2015
Prepared by the Office of Edward P. McGettigan, Atlantic County Clerk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V6" activePane="bottomRight" state="frozen"/>
      <selection pane="bottomRight" activeCell="AQ14" sqref="AQ14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&amp;C&amp;"Arial,Bold"&amp;11City of Egg Harbor
General Election - November 3, 2015
Prepared by the Office of Edward P. McGettigan, Atlantic County Clerk</oddHeader>
        <oddFooter>&amp;R&amp;11Page &amp;P</oddFooter>
      </headerFooter>
    </customSheetView>
    <customSheetView guid="{E8E8F98C-F893-4247-8892-1264000ABD26}" scale="75" showPageBreaks="1" view="pageBreakPreview">
      <pane xSplit="1" ySplit="5" topLeftCell="V6" activePane="bottomRight" state="frozen"/>
      <selection pane="bottomRight" activeCell="AQ14" sqref="AQ14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&amp;C&amp;"Arial,Bold"&amp;11City of Egg Harbor
General Election - November 3, 2015
Prepared by the Office of Edward P. McGettigan, Atlantic County Clerk</oddHeader>
        <oddFooter>&amp;R&amp;11Page &amp;P</oddFooter>
      </headerFooter>
    </customSheetView>
  </customSheetViews>
  <mergeCells count="8">
    <mergeCell ref="AM5:AW5"/>
    <mergeCell ref="BA4:BC4"/>
    <mergeCell ref="BA5:BC5"/>
    <mergeCell ref="BE5:BG5"/>
    <mergeCell ref="C5:Q5"/>
    <mergeCell ref="S5:AC5"/>
    <mergeCell ref="AE5:AG5"/>
    <mergeCell ref="AI5:AK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&amp;C&amp;"Arial,Bold"&amp;11City of Egg Harbor
General Election - November 6, 2018
Prepared by the Office of Edward P. McGettigan, Atlantic County Clerk</oddHeader>
    <oddFooter>&amp;R&amp;11Page &amp;P</oddFooter>
  </headerFooter>
  <colBreaks count="2" manualBreakCount="2">
    <brk id="29" max="22" man="1"/>
    <brk id="55" max="22" man="1"/>
  </colBreaks>
  <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P60"/>
  <sheetViews>
    <sheetView zoomScale="75" zoomScaleNormal="75" zoomScaleSheetLayoutView="75" workbookViewId="0">
      <pane xSplit="1" ySplit="7" topLeftCell="BO8" activePane="bottomRight" state="frozen"/>
      <selection activeCell="AE4" activeCellId="1" sqref="S4:AC8 AE4:AG8"/>
      <selection pane="topRight" activeCell="AE4" activeCellId="1" sqref="S4:AC8 AE4:AG8"/>
      <selection pane="bottomLeft" activeCell="AE4" activeCellId="1" sqref="S4:AC8 AE4:AG8"/>
      <selection pane="bottomRight" activeCell="AE4" activeCellId="1" sqref="S4:AC8 AE4:AG8"/>
    </sheetView>
  </sheetViews>
  <sheetFormatPr defaultRowHeight="12.75" x14ac:dyDescent="0.2"/>
  <cols>
    <col min="1" max="1" width="12" style="61" customWidth="1"/>
    <col min="2" max="2" width="1.7109375" style="37" customWidth="1"/>
    <col min="3" max="3" width="12.140625" style="63" customWidth="1"/>
    <col min="4" max="4" width="1.7109375" style="63" customWidth="1"/>
    <col min="5" max="5" width="11.140625" style="63" customWidth="1"/>
    <col min="6" max="6" width="1.7109375" style="63" customWidth="1"/>
    <col min="7" max="7" width="15.85546875" style="63" customWidth="1"/>
    <col min="8" max="8" width="1.7109375" style="63" customWidth="1"/>
    <col min="9" max="9" width="12.140625" style="63" customWidth="1"/>
    <col min="10" max="10" width="1.7109375" style="63" customWidth="1"/>
    <col min="11" max="11" width="15.85546875" style="63" customWidth="1"/>
    <col min="12" max="12" width="1.7109375" style="63" customWidth="1"/>
    <col min="13" max="13" width="12.140625" style="63" customWidth="1"/>
    <col min="14" max="14" width="1.7109375" style="63" customWidth="1"/>
    <col min="15" max="15" width="12.140625" style="63" customWidth="1"/>
    <col min="16" max="16" width="1.7109375" style="63" customWidth="1"/>
    <col min="17" max="17" width="14.140625" style="63" customWidth="1"/>
    <col min="18" max="18" width="1.5703125" style="63" customWidth="1"/>
    <col min="19" max="19" width="12.7109375" style="63" customWidth="1"/>
    <col min="20" max="20" width="1.7109375" style="63" customWidth="1"/>
    <col min="21" max="21" width="11.5703125" style="63" customWidth="1"/>
    <col min="22" max="22" width="1.7109375" style="63" customWidth="1"/>
    <col min="23" max="23" width="12.140625" style="63" customWidth="1"/>
    <col min="24" max="24" width="1.7109375" style="63" customWidth="1"/>
    <col min="25" max="25" width="12.140625" style="63" customWidth="1"/>
    <col min="26" max="26" width="1.7109375" style="63" customWidth="1"/>
    <col min="27" max="27" width="12" style="63" customWidth="1"/>
    <col min="28" max="28" width="1.7109375" style="63" customWidth="1"/>
    <col min="29" max="29" width="11.85546875" style="63" customWidth="1"/>
    <col min="30" max="30" width="1.7109375" style="63" customWidth="1"/>
    <col min="31" max="31" width="12.140625" style="63" customWidth="1"/>
    <col min="32" max="32" width="1.7109375" style="63" customWidth="1"/>
    <col min="33" max="33" width="12.85546875" style="63" customWidth="1"/>
    <col min="34" max="34" width="1.7109375" style="63" customWidth="1"/>
    <col min="35" max="35" width="12.140625" style="63" customWidth="1"/>
    <col min="36" max="36" width="1.7109375" style="63" customWidth="1"/>
    <col min="37" max="37" width="12.140625" style="63" customWidth="1"/>
    <col min="38" max="38" width="1.7109375" style="63" customWidth="1"/>
    <col min="39" max="39" width="12.140625" style="63" customWidth="1"/>
    <col min="40" max="40" width="1.7109375" style="63" customWidth="1"/>
    <col min="41" max="41" width="13.28515625" style="63" customWidth="1"/>
    <col min="42" max="42" width="1.7109375" style="63" customWidth="1"/>
    <col min="43" max="43" width="12.140625" style="63" customWidth="1"/>
    <col min="44" max="44" width="1.7109375" style="63" customWidth="1"/>
    <col min="45" max="45" width="12.140625" style="63" customWidth="1"/>
    <col min="46" max="46" width="1.7109375" style="63" customWidth="1"/>
    <col min="47" max="47" width="15.140625" style="63" customWidth="1"/>
    <col min="48" max="48" width="1.7109375" style="63" customWidth="1"/>
    <col min="49" max="49" width="11.85546875" style="63" customWidth="1"/>
    <col min="50" max="50" width="1.7109375" style="63" customWidth="1"/>
    <col min="51" max="51" width="11.85546875" style="63" customWidth="1"/>
    <col min="52" max="52" width="1.7109375" style="63" customWidth="1"/>
    <col min="53" max="53" width="11.85546875" style="63" customWidth="1"/>
    <col min="54" max="54" width="1.7109375" style="63" customWidth="1"/>
    <col min="55" max="55" width="11.85546875" style="63" customWidth="1"/>
    <col min="56" max="56" width="1.7109375" style="63" customWidth="1"/>
    <col min="57" max="57" width="12.140625" style="63" customWidth="1"/>
    <col min="58" max="58" width="1.7109375" style="63" customWidth="1"/>
    <col min="59" max="59" width="11.85546875" style="63" customWidth="1"/>
    <col min="60" max="60" width="1.7109375" style="63" customWidth="1"/>
    <col min="61" max="61" width="11.85546875" style="63" customWidth="1"/>
    <col min="62" max="62" width="1.7109375" style="63" customWidth="1"/>
    <col min="63" max="63" width="11.85546875" style="63" customWidth="1"/>
    <col min="64" max="64" width="1.7109375" style="63" customWidth="1"/>
    <col min="65" max="65" width="11.85546875" style="63" customWidth="1"/>
    <col min="66" max="66" width="1.7109375" style="63" customWidth="1"/>
    <col min="67" max="67" width="11.85546875" style="63" customWidth="1"/>
    <col min="68" max="68" width="1.7109375" style="63" customWidth="1"/>
    <col min="69" max="69" width="11.85546875" style="63" customWidth="1"/>
    <col min="70" max="70" width="1.7109375" style="63" customWidth="1"/>
    <col min="71" max="71" width="11.85546875" style="63" customWidth="1"/>
    <col min="72" max="72" width="1.7109375" style="63" customWidth="1"/>
    <col min="73" max="73" width="9.7109375" style="63" customWidth="1"/>
    <col min="74" max="74" width="1.7109375" style="63" customWidth="1"/>
    <col min="75" max="75" width="9.7109375" style="63" customWidth="1"/>
    <col min="76" max="76" width="1.7109375" style="63" customWidth="1"/>
    <col min="77" max="77" width="10" style="118" customWidth="1"/>
    <col min="78" max="78" width="1.7109375" style="35" customWidth="1"/>
    <col min="79" max="79" width="9.140625" style="118" customWidth="1"/>
    <col min="80" max="80" width="1.7109375" style="118" customWidth="1"/>
    <col min="81" max="81" width="11.85546875" style="118" customWidth="1"/>
    <col min="82" max="82" width="1.7109375" style="35" customWidth="1"/>
    <col min="83" max="83" width="11.85546875" style="35" customWidth="1"/>
    <col min="84" max="84" width="1.7109375" style="35" customWidth="1"/>
    <col min="85" max="85" width="10.140625" style="118" customWidth="1"/>
    <col min="86" max="86" width="1.7109375" style="35" customWidth="1"/>
    <col min="87" max="87" width="11.85546875" style="35" customWidth="1"/>
    <col min="88" max="88" width="1.7109375" style="35" customWidth="1"/>
    <col min="89" max="89" width="9.140625" style="35"/>
    <col min="90" max="90" width="1.7109375" style="35" customWidth="1"/>
    <col min="91" max="120" width="9.140625" style="35"/>
    <col min="121" max="16384" width="9.140625" style="37"/>
  </cols>
  <sheetData>
    <row r="1" spans="1:120" s="10" customFormat="1" x14ac:dyDescent="0.2">
      <c r="A1" s="246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42"/>
      <c r="BZ1" s="20"/>
      <c r="CA1" s="42"/>
      <c r="CB1" s="42"/>
      <c r="CC1" s="42"/>
      <c r="CD1" s="20"/>
      <c r="CE1" s="20"/>
      <c r="CF1" s="20"/>
      <c r="CG1" s="42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</row>
    <row r="2" spans="1:120" s="10" customFormat="1" x14ac:dyDescent="0.2">
      <c r="A2" s="28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42"/>
      <c r="BZ2" s="20"/>
      <c r="CA2" s="42"/>
      <c r="CB2" s="42"/>
      <c r="CC2" s="42"/>
      <c r="CD2" s="20"/>
      <c r="CE2" s="20"/>
      <c r="CF2" s="20"/>
      <c r="CG2" s="42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</row>
    <row r="3" spans="1:120" s="372" customFormat="1" ht="15" x14ac:dyDescent="0.25">
      <c r="A3" s="362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  <c r="AN3" s="408"/>
      <c r="AO3" s="408"/>
      <c r="AP3" s="408"/>
      <c r="AQ3" s="408"/>
      <c r="AR3" s="408"/>
      <c r="AS3" s="408"/>
      <c r="AT3" s="408"/>
      <c r="AU3" s="408"/>
      <c r="AV3" s="408"/>
      <c r="AW3" s="408"/>
      <c r="AX3" s="408"/>
      <c r="AY3" s="408"/>
      <c r="AZ3" s="408"/>
      <c r="BA3" s="408"/>
      <c r="BB3" s="408"/>
      <c r="BC3" s="408"/>
      <c r="BD3" s="408"/>
      <c r="BE3" s="408"/>
      <c r="BF3" s="408"/>
      <c r="BG3" s="408"/>
      <c r="BH3" s="408"/>
      <c r="BI3" s="408"/>
      <c r="BJ3" s="408"/>
      <c r="BK3" s="408"/>
      <c r="BL3" s="408"/>
      <c r="BM3" s="408"/>
      <c r="BN3" s="408"/>
      <c r="BO3" s="408"/>
      <c r="BP3" s="408"/>
      <c r="BQ3" s="459" t="s">
        <v>144</v>
      </c>
      <c r="BR3" s="459"/>
      <c r="BS3" s="459"/>
      <c r="BT3" s="408"/>
      <c r="BU3" s="408"/>
      <c r="BV3" s="408"/>
      <c r="BW3" s="408"/>
      <c r="BX3" s="408"/>
      <c r="BY3" s="413"/>
      <c r="BZ3" s="373"/>
      <c r="CA3" s="413"/>
      <c r="CB3" s="413"/>
      <c r="CC3" s="413"/>
      <c r="CD3" s="373"/>
      <c r="CE3" s="373"/>
      <c r="CF3" s="373"/>
      <c r="CG3" s="41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</row>
    <row r="4" spans="1:120" s="154" customFormat="1" ht="15" x14ac:dyDescent="0.25">
      <c r="A4" s="362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311"/>
      <c r="S4" s="311"/>
      <c r="T4" s="311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23"/>
      <c r="AI4" s="323"/>
      <c r="AJ4" s="323"/>
      <c r="AK4" s="323"/>
      <c r="AL4" s="310"/>
      <c r="AM4" s="310"/>
      <c r="AN4" s="310"/>
      <c r="AO4" s="310"/>
      <c r="AP4" s="310"/>
      <c r="AQ4" s="310"/>
      <c r="AR4" s="310"/>
      <c r="AS4" s="310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457" t="s">
        <v>116</v>
      </c>
      <c r="BR4" s="457"/>
      <c r="BS4" s="457"/>
      <c r="BT4" s="137"/>
      <c r="BU4" s="137"/>
      <c r="BV4" s="137"/>
      <c r="BW4" s="137"/>
      <c r="BX4" s="137"/>
      <c r="BY4" s="413"/>
      <c r="BZ4" s="373"/>
      <c r="CA4" s="413"/>
      <c r="CB4" s="413"/>
      <c r="CC4" s="413"/>
      <c r="CD4" s="373"/>
      <c r="CE4" s="373"/>
      <c r="CF4" s="373"/>
      <c r="CG4" s="413"/>
      <c r="CH4" s="373"/>
      <c r="CI4" s="373"/>
      <c r="CJ4" s="373"/>
      <c r="CK4" s="373"/>
      <c r="CL4" s="373"/>
      <c r="CM4" s="373"/>
      <c r="CN4" s="373"/>
      <c r="CO4" s="373"/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  <c r="DC4" s="373"/>
      <c r="DD4" s="373"/>
      <c r="DE4" s="373"/>
      <c r="DF4" s="373"/>
      <c r="DG4" s="373"/>
      <c r="DH4" s="373"/>
      <c r="DI4" s="373"/>
      <c r="DJ4" s="373"/>
      <c r="DK4" s="373"/>
      <c r="DL4" s="373"/>
      <c r="DM4" s="373"/>
      <c r="DN4" s="373"/>
      <c r="DO4" s="373"/>
      <c r="DP4" s="373"/>
    </row>
    <row r="5" spans="1:120" s="154" customFormat="1" ht="15.75" thickBot="1" x14ac:dyDescent="0.3">
      <c r="A5" s="362"/>
      <c r="C5" s="458" t="s">
        <v>163</v>
      </c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293"/>
      <c r="S5" s="462" t="s">
        <v>177</v>
      </c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293"/>
      <c r="AE5" s="462" t="s">
        <v>80</v>
      </c>
      <c r="AF5" s="462"/>
      <c r="AG5" s="462"/>
      <c r="AH5" s="323"/>
      <c r="AI5" s="464" t="s">
        <v>181</v>
      </c>
      <c r="AJ5" s="464"/>
      <c r="AK5" s="464"/>
      <c r="AL5" s="323"/>
      <c r="AM5" s="464" t="s">
        <v>110</v>
      </c>
      <c r="AN5" s="464"/>
      <c r="AO5" s="464"/>
      <c r="AP5" s="464"/>
      <c r="AQ5" s="464"/>
      <c r="AR5" s="464"/>
      <c r="AS5" s="464"/>
      <c r="AT5" s="464"/>
      <c r="AU5" s="464"/>
      <c r="AV5" s="323"/>
      <c r="AW5" s="464" t="s">
        <v>114</v>
      </c>
      <c r="AX5" s="464"/>
      <c r="AY5" s="464"/>
      <c r="AZ5" s="464"/>
      <c r="BA5" s="464"/>
      <c r="BB5" s="464"/>
      <c r="BC5" s="464"/>
      <c r="BD5" s="464"/>
      <c r="BE5" s="464"/>
      <c r="BF5" s="464"/>
      <c r="BG5" s="464"/>
      <c r="BH5" s="464"/>
      <c r="BI5" s="464"/>
      <c r="BJ5" s="464"/>
      <c r="BK5" s="464"/>
      <c r="BL5" s="464"/>
      <c r="BM5" s="464"/>
      <c r="BN5" s="464"/>
      <c r="BO5" s="464"/>
      <c r="BP5" s="323"/>
      <c r="BQ5" s="464" t="s">
        <v>137</v>
      </c>
      <c r="BR5" s="464"/>
      <c r="BS5" s="464"/>
      <c r="BT5" s="323"/>
      <c r="BU5" s="457" t="s">
        <v>196</v>
      </c>
      <c r="BV5" s="457"/>
      <c r="BW5" s="457"/>
      <c r="BX5" s="137"/>
      <c r="BY5" s="413"/>
      <c r="BZ5" s="373"/>
      <c r="CA5" s="413"/>
      <c r="CB5" s="413"/>
      <c r="CC5" s="413"/>
      <c r="CD5" s="373"/>
      <c r="CE5" s="373"/>
      <c r="CF5" s="373"/>
      <c r="CG5" s="413"/>
      <c r="CH5" s="373"/>
      <c r="CI5" s="373"/>
      <c r="CJ5" s="373"/>
      <c r="CK5" s="373"/>
      <c r="CL5" s="373"/>
      <c r="CM5" s="373"/>
      <c r="CN5" s="373"/>
      <c r="CO5" s="373"/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  <c r="DC5" s="373"/>
      <c r="DD5" s="373"/>
      <c r="DE5" s="373"/>
      <c r="DF5" s="373"/>
      <c r="DG5" s="373"/>
      <c r="DH5" s="373"/>
      <c r="DI5" s="373"/>
      <c r="DJ5" s="373"/>
      <c r="DK5" s="373"/>
      <c r="DL5" s="373"/>
      <c r="DM5" s="373"/>
      <c r="DN5" s="373"/>
      <c r="DO5" s="373"/>
      <c r="DP5" s="373"/>
    </row>
    <row r="6" spans="1:120" s="244" customFormat="1" ht="15" x14ac:dyDescent="0.25">
      <c r="A6" s="246"/>
      <c r="C6" s="332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4"/>
      <c r="R6" s="293"/>
      <c r="S6" s="129"/>
      <c r="T6" s="128"/>
      <c r="U6" s="128"/>
      <c r="V6" s="128"/>
      <c r="W6" s="128"/>
      <c r="X6" s="128"/>
      <c r="Y6" s="128"/>
      <c r="Z6" s="128"/>
      <c r="AA6" s="128"/>
      <c r="AB6" s="128"/>
      <c r="AC6" s="339" t="str">
        <f>+'Lead Sheet '!AC4</f>
        <v>Anthony</v>
      </c>
      <c r="AD6" s="293"/>
      <c r="AE6" s="129"/>
      <c r="AF6" s="128"/>
      <c r="AG6" s="130"/>
      <c r="AH6" s="282"/>
      <c r="AI6" s="103"/>
      <c r="AJ6" s="104"/>
      <c r="AK6" s="105"/>
      <c r="AL6" s="282"/>
      <c r="AM6" s="103"/>
      <c r="AN6" s="104"/>
      <c r="AO6" s="104"/>
      <c r="AP6" s="104"/>
      <c r="AQ6" s="104"/>
      <c r="AR6" s="104"/>
      <c r="AS6" s="104"/>
      <c r="AT6" s="164"/>
      <c r="AU6" s="165"/>
      <c r="AV6" s="279"/>
      <c r="AW6" s="163"/>
      <c r="AX6" s="164"/>
      <c r="AY6" s="414"/>
      <c r="AZ6" s="170"/>
      <c r="BA6" s="170"/>
      <c r="BB6" s="170"/>
      <c r="BC6" s="170"/>
      <c r="BD6" s="170"/>
      <c r="BE6" s="170"/>
      <c r="BF6" s="164"/>
      <c r="BG6" s="164"/>
      <c r="BH6" s="164"/>
      <c r="BI6" s="164"/>
      <c r="BJ6" s="164"/>
      <c r="BK6" s="164"/>
      <c r="BL6" s="164"/>
      <c r="BM6" s="164"/>
      <c r="BN6" s="164"/>
      <c r="BO6" s="165"/>
      <c r="BP6" s="279"/>
      <c r="BQ6" s="163"/>
      <c r="BR6" s="164"/>
      <c r="BS6" s="165"/>
      <c r="BT6" s="279"/>
      <c r="BU6" s="172"/>
      <c r="BV6" s="173"/>
      <c r="BW6" s="174"/>
      <c r="BX6" s="245"/>
      <c r="BY6" s="79"/>
      <c r="BZ6" s="77"/>
      <c r="CA6" s="81"/>
      <c r="CB6" s="77"/>
      <c r="CC6" s="81"/>
      <c r="CD6" s="77"/>
      <c r="CE6" s="81"/>
      <c r="CF6" s="77"/>
      <c r="CG6" s="82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</row>
    <row r="7" spans="1:120" s="244" customFormat="1" ht="15" x14ac:dyDescent="0.25">
      <c r="A7" s="246"/>
      <c r="C7" s="90" t="str">
        <f>+'Lead Sheet '!C5</f>
        <v>Bob</v>
      </c>
      <c r="D7" s="96"/>
      <c r="E7" s="96" t="str">
        <f>+'Lead Sheet '!E5</f>
        <v>Robert</v>
      </c>
      <c r="F7" s="95"/>
      <c r="G7" s="96" t="str">
        <f>+'Lead Sheet '!G5</f>
        <v>Natalie Lynn</v>
      </c>
      <c r="H7" s="95"/>
      <c r="I7" s="96" t="str">
        <f>+'Lead Sheet '!I5</f>
        <v>Hank</v>
      </c>
      <c r="J7" s="95"/>
      <c r="K7" s="96" t="str">
        <f>+'Lead Sheet '!K5</f>
        <v>Murray</v>
      </c>
      <c r="L7" s="95"/>
      <c r="M7" s="96" t="str">
        <f>+'Lead Sheet '!M5</f>
        <v>Madelyn R.</v>
      </c>
      <c r="N7" s="95"/>
      <c r="O7" s="96" t="str">
        <f>+'Lead Sheet '!O5</f>
        <v>Tricia</v>
      </c>
      <c r="P7" s="282"/>
      <c r="Q7" s="97" t="str">
        <f>+'Lead Sheet '!Q5</f>
        <v>Kevin</v>
      </c>
      <c r="R7" s="95"/>
      <c r="S7" s="90" t="str">
        <f>+'Lead Sheet '!S5</f>
        <v>Seth</v>
      </c>
      <c r="T7" s="95"/>
      <c r="U7" s="96" t="str">
        <f>+'Lead Sheet '!U5</f>
        <v>Jeff</v>
      </c>
      <c r="V7" s="95"/>
      <c r="W7" s="96" t="str">
        <f>+'Lead Sheet '!W5</f>
        <v>Steven</v>
      </c>
      <c r="X7" s="95"/>
      <c r="Y7" s="96" t="str">
        <f>+'Lead Sheet '!Y5</f>
        <v>William R.</v>
      </c>
      <c r="Z7" s="95"/>
      <c r="AA7" s="96" t="str">
        <f>+'Lead Sheet '!AA5</f>
        <v>John</v>
      </c>
      <c r="AB7" s="95"/>
      <c r="AC7" s="340" t="str">
        <f>+'Lead Sheet '!AC5</f>
        <v xml:space="preserve">PARISI </v>
      </c>
      <c r="AD7" s="95"/>
      <c r="AE7" s="90" t="str">
        <f>+'Lead Sheet '!AE5</f>
        <v>Frank D.</v>
      </c>
      <c r="AF7" s="282"/>
      <c r="AG7" s="97" t="str">
        <f>+'Lead Sheet '!AG5</f>
        <v>Celeste</v>
      </c>
      <c r="AH7" s="282"/>
      <c r="AI7" s="106" t="str">
        <f>+'Lead Sheet '!AI5</f>
        <v>Maureen</v>
      </c>
      <c r="AJ7" s="282"/>
      <c r="AK7" s="107" t="str">
        <f>+'Lead Sheet '!AK5</f>
        <v>Maureen</v>
      </c>
      <c r="AL7" s="282"/>
      <c r="AM7" s="106" t="s">
        <v>273</v>
      </c>
      <c r="AN7" s="282"/>
      <c r="AO7" s="95" t="s">
        <v>275</v>
      </c>
      <c r="AP7" s="282"/>
      <c r="AQ7" s="95" t="s">
        <v>277</v>
      </c>
      <c r="AR7" s="282"/>
      <c r="AS7" s="95" t="s">
        <v>279</v>
      </c>
      <c r="AT7" s="279"/>
      <c r="AU7" s="167" t="s">
        <v>130</v>
      </c>
      <c r="AV7" s="152"/>
      <c r="AW7" s="166" t="s">
        <v>282</v>
      </c>
      <c r="AX7" s="88"/>
      <c r="AY7" s="152" t="s">
        <v>284</v>
      </c>
      <c r="AZ7" s="152"/>
      <c r="BA7" s="274" t="s">
        <v>286</v>
      </c>
      <c r="BB7" s="152"/>
      <c r="BC7" s="274" t="s">
        <v>113</v>
      </c>
      <c r="BD7" s="152"/>
      <c r="BE7" s="412" t="s">
        <v>289</v>
      </c>
      <c r="BF7" s="88"/>
      <c r="BG7" s="152" t="s">
        <v>112</v>
      </c>
      <c r="BH7" s="152"/>
      <c r="BI7" s="152" t="s">
        <v>292</v>
      </c>
      <c r="BJ7" s="152"/>
      <c r="BK7" s="152" t="s">
        <v>294</v>
      </c>
      <c r="BL7" s="152"/>
      <c r="BM7" s="152" t="s">
        <v>296</v>
      </c>
      <c r="BN7" s="152"/>
      <c r="BO7" s="167" t="s">
        <v>109</v>
      </c>
      <c r="BP7" s="152"/>
      <c r="BQ7" s="166" t="s">
        <v>121</v>
      </c>
      <c r="BR7" s="152"/>
      <c r="BS7" s="167" t="s">
        <v>300</v>
      </c>
      <c r="BT7" s="152"/>
      <c r="BU7" s="155"/>
      <c r="BV7" s="137"/>
      <c r="BW7" s="156"/>
      <c r="BX7" s="245"/>
      <c r="BY7" s="78" t="s">
        <v>24</v>
      </c>
      <c r="BZ7" s="76"/>
      <c r="CA7" s="83" t="s">
        <v>24</v>
      </c>
      <c r="CB7" s="76"/>
      <c r="CC7" s="83" t="s">
        <v>24</v>
      </c>
      <c r="CD7" s="76"/>
      <c r="CE7" s="83" t="s">
        <v>24</v>
      </c>
      <c r="CF7" s="76"/>
      <c r="CG7" s="84" t="s">
        <v>24</v>
      </c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</row>
    <row r="8" spans="1:120" s="244" customFormat="1" ht="14.25" x14ac:dyDescent="0.2">
      <c r="A8" s="61" t="s">
        <v>91</v>
      </c>
      <c r="C8" s="90" t="str">
        <f>+'Lead Sheet '!C6</f>
        <v>HUGIN</v>
      </c>
      <c r="D8" s="96"/>
      <c r="E8" s="96" t="str">
        <f>+'Lead Sheet '!E6</f>
        <v>MENENDEZ</v>
      </c>
      <c r="F8" s="95"/>
      <c r="G8" s="96" t="str">
        <f>+'Lead Sheet '!G6</f>
        <v>RIVERA</v>
      </c>
      <c r="H8" s="95"/>
      <c r="I8" s="96" t="str">
        <f>+'Lead Sheet '!I6</f>
        <v>SCHROEDER</v>
      </c>
      <c r="J8" s="95"/>
      <c r="K8" s="96" t="str">
        <f>+'Lead Sheet '!K6</f>
        <v>SABRIN</v>
      </c>
      <c r="L8" s="95"/>
      <c r="M8" s="96" t="str">
        <f>+'Lead Sheet '!M6</f>
        <v>HOFFMAN</v>
      </c>
      <c r="N8" s="95"/>
      <c r="O8" s="96" t="str">
        <f>+'Lead Sheet '!O6</f>
        <v>FLANAGAN</v>
      </c>
      <c r="P8" s="282"/>
      <c r="Q8" s="97" t="str">
        <f>+'Lead Sheet '!Q6</f>
        <v>KIMPLE</v>
      </c>
      <c r="R8" s="95"/>
      <c r="S8" s="90" t="str">
        <f>+'Lead Sheet '!S6</f>
        <v>GROSSMAN</v>
      </c>
      <c r="T8" s="95"/>
      <c r="U8" s="96" t="str">
        <f>+'Lead Sheet '!U6</f>
        <v>VAN DREW</v>
      </c>
      <c r="V8" s="95"/>
      <c r="W8" s="96" t="str">
        <f>+'Lead Sheet '!W6</f>
        <v>FENICHEL</v>
      </c>
      <c r="X8" s="95"/>
      <c r="Y8" s="96" t="str">
        <f>+'Lead Sheet '!Y6</f>
        <v>BENFER</v>
      </c>
      <c r="Z8" s="95"/>
      <c r="AA8" s="96" t="str">
        <f>+'Lead Sheet '!AA6</f>
        <v>ORDILLE</v>
      </c>
      <c r="AB8" s="95"/>
      <c r="AC8" s="340" t="str">
        <f>+'Lead Sheet '!AC6</f>
        <v>SANCHEZ</v>
      </c>
      <c r="AD8" s="95"/>
      <c r="AE8" s="90" t="str">
        <f>+'Lead Sheet '!AE6</f>
        <v>FORMICA</v>
      </c>
      <c r="AF8" s="282"/>
      <c r="AG8" s="97" t="str">
        <f>+'Lead Sheet '!AG6</f>
        <v>FERNANDEZ</v>
      </c>
      <c r="AH8" s="282"/>
      <c r="AI8" s="106" t="str">
        <f>+'Lead Sheet '!AI6</f>
        <v>KERN</v>
      </c>
      <c r="AJ8" s="282"/>
      <c r="AK8" s="107" t="str">
        <f>+'Lead Sheet '!AK6</f>
        <v>LEIDY</v>
      </c>
      <c r="AL8" s="282"/>
      <c r="AM8" s="106" t="s">
        <v>274</v>
      </c>
      <c r="AN8" s="282"/>
      <c r="AO8" s="95" t="s">
        <v>276</v>
      </c>
      <c r="AP8" s="282"/>
      <c r="AQ8" s="95" t="s">
        <v>278</v>
      </c>
      <c r="AR8" s="282"/>
      <c r="AS8" s="95" t="s">
        <v>280</v>
      </c>
      <c r="AT8" s="279"/>
      <c r="AU8" s="167" t="s">
        <v>281</v>
      </c>
      <c r="AV8" s="152"/>
      <c r="AW8" s="166" t="s">
        <v>283</v>
      </c>
      <c r="AX8" s="88"/>
      <c r="AY8" s="152" t="s">
        <v>285</v>
      </c>
      <c r="AZ8" s="152"/>
      <c r="BA8" s="152" t="s">
        <v>287</v>
      </c>
      <c r="BB8" s="152"/>
      <c r="BC8" s="152" t="s">
        <v>288</v>
      </c>
      <c r="BD8" s="152"/>
      <c r="BE8" s="152" t="s">
        <v>290</v>
      </c>
      <c r="BF8" s="88"/>
      <c r="BG8" s="152" t="s">
        <v>291</v>
      </c>
      <c r="BH8" s="152"/>
      <c r="BI8" s="152" t="s">
        <v>293</v>
      </c>
      <c r="BJ8" s="152"/>
      <c r="BK8" s="152" t="s">
        <v>295</v>
      </c>
      <c r="BL8" s="152"/>
      <c r="BM8" s="152" t="s">
        <v>297</v>
      </c>
      <c r="BN8" s="152"/>
      <c r="BO8" s="167" t="s">
        <v>298</v>
      </c>
      <c r="BP8" s="152"/>
      <c r="BQ8" s="166" t="s">
        <v>299</v>
      </c>
      <c r="BR8" s="152"/>
      <c r="BS8" s="167" t="s">
        <v>301</v>
      </c>
      <c r="BT8" s="152"/>
      <c r="BU8" s="315" t="s">
        <v>106</v>
      </c>
      <c r="BV8" s="143"/>
      <c r="BW8" s="316" t="s">
        <v>107</v>
      </c>
      <c r="BX8" s="245"/>
      <c r="BY8" s="78" t="s">
        <v>83</v>
      </c>
      <c r="BZ8" s="76"/>
      <c r="CA8" s="83" t="s">
        <v>84</v>
      </c>
      <c r="CB8" s="76"/>
      <c r="CC8" s="83" t="s">
        <v>85</v>
      </c>
      <c r="CD8" s="76"/>
      <c r="CE8" s="83" t="s">
        <v>86</v>
      </c>
      <c r="CF8" s="76"/>
      <c r="CG8" s="84" t="s">
        <v>87</v>
      </c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</row>
    <row r="9" spans="1:120" s="244" customFormat="1" ht="14.25" x14ac:dyDescent="0.2">
      <c r="A9" s="61" t="s">
        <v>92</v>
      </c>
      <c r="C9" s="90" t="str">
        <f>+'Lead Sheet '!C7</f>
        <v>Republican</v>
      </c>
      <c r="D9" s="96"/>
      <c r="E9" s="96" t="str">
        <f>+'Lead Sheet '!E7</f>
        <v>Democratic</v>
      </c>
      <c r="F9" s="95"/>
      <c r="G9" s="96" t="str">
        <f>+'Lead Sheet '!G7</f>
        <v>For The People</v>
      </c>
      <c r="H9" s="95"/>
      <c r="I9" s="96" t="str">
        <f>+'Lead Sheet '!I7</f>
        <v>Economic Growth</v>
      </c>
      <c r="J9" s="95"/>
      <c r="K9" s="96" t="str">
        <f>+'Lead Sheet '!K7</f>
        <v>Libertarian Party</v>
      </c>
      <c r="L9" s="95"/>
      <c r="M9" s="96" t="str">
        <f>+'Lead Sheet '!M7</f>
        <v>Green Party</v>
      </c>
      <c r="N9" s="95"/>
      <c r="O9" s="96" t="str">
        <f>+'Lead Sheet '!O7</f>
        <v>New Day NJ</v>
      </c>
      <c r="P9" s="282"/>
      <c r="Q9" s="97" t="str">
        <f>+'Lead Sheet '!Q7</f>
        <v>Make It Simple</v>
      </c>
      <c r="R9" s="95"/>
      <c r="S9" s="90" t="str">
        <f>+'Lead Sheet '!S7</f>
        <v>Republican</v>
      </c>
      <c r="T9" s="95"/>
      <c r="U9" s="96" t="str">
        <f>+'Lead Sheet '!U7</f>
        <v>Democratic</v>
      </c>
      <c r="V9" s="95"/>
      <c r="W9" s="96" t="str">
        <f>+'Lead Sheet '!W7</f>
        <v>Time For Truth</v>
      </c>
      <c r="X9" s="95"/>
      <c r="Y9" s="96" t="str">
        <f>+'Lead Sheet '!Y7</f>
        <v>Hope In Unity</v>
      </c>
      <c r="Z9" s="95"/>
      <c r="AA9" s="96" t="str">
        <f>+'Lead Sheet '!AA7</f>
        <v>Libertarian Party</v>
      </c>
      <c r="AB9" s="95"/>
      <c r="AC9" s="97" t="str">
        <f>+'Lead Sheet '!AC7</f>
        <v xml:space="preserve">Cannot Be </v>
      </c>
      <c r="AD9" s="95"/>
      <c r="AE9" s="90" t="str">
        <f>+'Lead Sheet '!AE7</f>
        <v>Republican</v>
      </c>
      <c r="AF9" s="282"/>
      <c r="AG9" s="97" t="str">
        <f>+'Lead Sheet '!AG7</f>
        <v>Democratic</v>
      </c>
      <c r="AH9" s="282"/>
      <c r="AI9" s="106" t="str">
        <f>+'Lead Sheet '!AI7</f>
        <v>Republican</v>
      </c>
      <c r="AJ9" s="282"/>
      <c r="AK9" s="107" t="str">
        <f>+'Lead Sheet '!AK7</f>
        <v>Democratic</v>
      </c>
      <c r="AL9" s="282"/>
      <c r="AM9" s="106" t="s">
        <v>93</v>
      </c>
      <c r="AN9" s="282"/>
      <c r="AO9" s="95" t="s">
        <v>93</v>
      </c>
      <c r="AP9" s="282"/>
      <c r="AQ9" s="95" t="s">
        <v>99</v>
      </c>
      <c r="AR9" s="282"/>
      <c r="AS9" s="95" t="s">
        <v>99</v>
      </c>
      <c r="AT9" s="279"/>
      <c r="AU9" s="167" t="s">
        <v>95</v>
      </c>
      <c r="AV9" s="152"/>
      <c r="AW9" s="166"/>
      <c r="AX9" s="88"/>
      <c r="AY9" s="275"/>
      <c r="AZ9" s="152"/>
      <c r="BA9" s="275"/>
      <c r="BB9" s="152"/>
      <c r="BC9" s="275"/>
      <c r="BD9" s="152"/>
      <c r="BE9" s="275"/>
      <c r="BF9" s="88"/>
      <c r="BG9" s="152"/>
      <c r="BH9" s="152"/>
      <c r="BI9" s="152"/>
      <c r="BJ9" s="152"/>
      <c r="BK9" s="152"/>
      <c r="BL9" s="152"/>
      <c r="BM9" s="152"/>
      <c r="BN9" s="152"/>
      <c r="BO9" s="167"/>
      <c r="BP9" s="152"/>
      <c r="BQ9" s="166"/>
      <c r="BR9" s="152"/>
      <c r="BS9" s="167"/>
      <c r="BT9" s="152"/>
      <c r="BU9" s="296"/>
      <c r="BV9" s="295"/>
      <c r="BW9" s="297"/>
      <c r="BX9" s="245"/>
      <c r="BY9" s="78" t="s">
        <v>89</v>
      </c>
      <c r="BZ9" s="76"/>
      <c r="CA9" s="83" t="s">
        <v>90</v>
      </c>
      <c r="CB9" s="76"/>
      <c r="CC9" s="83" t="s">
        <v>89</v>
      </c>
      <c r="CD9" s="76"/>
      <c r="CE9" s="83" t="s">
        <v>89</v>
      </c>
      <c r="CF9" s="76"/>
      <c r="CG9" s="84" t="s">
        <v>89</v>
      </c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</row>
    <row r="10" spans="1:120" s="244" customFormat="1" ht="15" thickBot="1" x14ac:dyDescent="0.25">
      <c r="A10" s="246"/>
      <c r="C10" s="98"/>
      <c r="D10" s="99"/>
      <c r="E10" s="99"/>
      <c r="F10" s="100"/>
      <c r="G10" s="99"/>
      <c r="H10" s="100"/>
      <c r="I10" s="99"/>
      <c r="J10" s="100"/>
      <c r="K10" s="99"/>
      <c r="L10" s="100"/>
      <c r="M10" s="99"/>
      <c r="N10" s="100"/>
      <c r="O10" s="99"/>
      <c r="P10" s="281"/>
      <c r="Q10" s="101"/>
      <c r="R10" s="95"/>
      <c r="S10" s="98"/>
      <c r="T10" s="100"/>
      <c r="U10" s="99"/>
      <c r="V10" s="100"/>
      <c r="W10" s="99"/>
      <c r="X10" s="100"/>
      <c r="Y10" s="99"/>
      <c r="Z10" s="100"/>
      <c r="AA10" s="99"/>
      <c r="AB10" s="100"/>
      <c r="AC10" s="101" t="str">
        <f>+'Lead Sheet '!AC8</f>
        <v>Bought</v>
      </c>
      <c r="AD10" s="95"/>
      <c r="AE10" s="98"/>
      <c r="AF10" s="281"/>
      <c r="AG10" s="101"/>
      <c r="AH10" s="282"/>
      <c r="AI10" s="120"/>
      <c r="AJ10" s="281"/>
      <c r="AK10" s="121"/>
      <c r="AL10" s="282"/>
      <c r="AM10" s="120"/>
      <c r="AN10" s="281"/>
      <c r="AO10" s="281"/>
      <c r="AP10" s="281"/>
      <c r="AQ10" s="281"/>
      <c r="AR10" s="281"/>
      <c r="AS10" s="281"/>
      <c r="AT10" s="280"/>
      <c r="AU10" s="169"/>
      <c r="AV10" s="88"/>
      <c r="AW10" s="168"/>
      <c r="AX10" s="284"/>
      <c r="AY10" s="284"/>
      <c r="AZ10" s="284"/>
      <c r="BA10" s="284"/>
      <c r="BB10" s="284"/>
      <c r="BC10" s="284"/>
      <c r="BD10" s="284"/>
      <c r="BE10" s="284"/>
      <c r="BF10" s="284"/>
      <c r="BG10" s="284"/>
      <c r="BH10" s="284"/>
      <c r="BI10" s="284"/>
      <c r="BJ10" s="284"/>
      <c r="BK10" s="284"/>
      <c r="BL10" s="284"/>
      <c r="BM10" s="284"/>
      <c r="BN10" s="284"/>
      <c r="BO10" s="169"/>
      <c r="BP10" s="88"/>
      <c r="BQ10" s="168"/>
      <c r="BR10" s="284"/>
      <c r="BS10" s="169"/>
      <c r="BT10" s="88"/>
      <c r="BU10" s="337"/>
      <c r="BV10" s="330"/>
      <c r="BW10" s="346"/>
      <c r="BX10" s="245"/>
      <c r="BY10" s="80"/>
      <c r="BZ10" s="85"/>
      <c r="CA10" s="85"/>
      <c r="CB10" s="85"/>
      <c r="CC10" s="85"/>
      <c r="CD10" s="85"/>
      <c r="CE10" s="85"/>
      <c r="CF10" s="85"/>
      <c r="CG10" s="86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</row>
    <row r="11" spans="1:120" x14ac:dyDescent="0.2">
      <c r="A11" s="61" t="s">
        <v>53</v>
      </c>
      <c r="C11" s="62">
        <f>201+217</f>
        <v>418</v>
      </c>
      <c r="D11" s="35"/>
      <c r="E11" s="62">
        <f>98+93</f>
        <v>191</v>
      </c>
      <c r="F11" s="35"/>
      <c r="G11" s="62">
        <f>6+2</f>
        <v>8</v>
      </c>
      <c r="H11" s="35"/>
      <c r="I11" s="62">
        <v>1</v>
      </c>
      <c r="J11" s="35"/>
      <c r="K11" s="62">
        <v>1</v>
      </c>
      <c r="L11" s="35"/>
      <c r="M11" s="62">
        <f>5+2</f>
        <v>7</v>
      </c>
      <c r="N11" s="35"/>
      <c r="O11" s="62">
        <v>0</v>
      </c>
      <c r="P11" s="35"/>
      <c r="Q11" s="62">
        <v>0</v>
      </c>
      <c r="R11" s="35"/>
      <c r="S11" s="62">
        <f>173+187</f>
        <v>360</v>
      </c>
      <c r="T11" s="35"/>
      <c r="U11" s="62">
        <f>138+123</f>
        <v>261</v>
      </c>
      <c r="V11" s="35"/>
      <c r="W11" s="62">
        <v>1</v>
      </c>
      <c r="X11" s="35"/>
      <c r="Y11" s="62">
        <v>1</v>
      </c>
      <c r="Z11" s="35"/>
      <c r="AA11" s="62">
        <v>1</v>
      </c>
      <c r="AB11" s="35"/>
      <c r="AC11" s="62">
        <f>2+2</f>
        <v>4</v>
      </c>
      <c r="AD11" s="35"/>
      <c r="AE11" s="62">
        <f>214+221</f>
        <v>435</v>
      </c>
      <c r="AF11" s="35"/>
      <c r="AG11" s="62">
        <f>94+90</f>
        <v>184</v>
      </c>
      <c r="AH11" s="35"/>
      <c r="AI11" s="62">
        <f>207+217</f>
        <v>424</v>
      </c>
      <c r="AJ11" s="35"/>
      <c r="AK11" s="62">
        <f>96+95</f>
        <v>191</v>
      </c>
      <c r="AL11" s="35"/>
      <c r="AM11" s="62">
        <f>207+213</f>
        <v>420</v>
      </c>
      <c r="AN11" s="35"/>
      <c r="AO11" s="62">
        <f>192+202</f>
        <v>394</v>
      </c>
      <c r="AP11" s="35"/>
      <c r="AQ11" s="62">
        <f>96+92</f>
        <v>188</v>
      </c>
      <c r="AR11" s="35"/>
      <c r="AS11" s="62">
        <f>104+96</f>
        <v>200</v>
      </c>
      <c r="AT11" s="35"/>
      <c r="AU11" s="62">
        <f>3+5</f>
        <v>8</v>
      </c>
      <c r="AV11" s="35"/>
      <c r="AW11" s="62">
        <f>49+47</f>
        <v>96</v>
      </c>
      <c r="AX11" s="35"/>
      <c r="AY11" s="62">
        <f>82+74</f>
        <v>156</v>
      </c>
      <c r="AZ11" s="35"/>
      <c r="BA11" s="62">
        <f>33+37</f>
        <v>70</v>
      </c>
      <c r="BB11" s="35"/>
      <c r="BC11" s="62">
        <f>89+77</f>
        <v>166</v>
      </c>
      <c r="BD11" s="35"/>
      <c r="BE11" s="62">
        <f>104+79</f>
        <v>183</v>
      </c>
      <c r="BF11" s="35"/>
      <c r="BG11" s="62">
        <f>31+31</f>
        <v>62</v>
      </c>
      <c r="BH11" s="35"/>
      <c r="BI11" s="62">
        <f>75+66</f>
        <v>141</v>
      </c>
      <c r="BJ11" s="35"/>
      <c r="BK11" s="62">
        <f>24+20</f>
        <v>44</v>
      </c>
      <c r="BL11" s="35"/>
      <c r="BM11" s="62">
        <f>21+26</f>
        <v>47</v>
      </c>
      <c r="BN11" s="35"/>
      <c r="BO11" s="62">
        <f>42+49</f>
        <v>91</v>
      </c>
      <c r="BP11" s="35"/>
      <c r="BQ11" s="62">
        <f>106+89</f>
        <v>195</v>
      </c>
      <c r="BR11" s="35"/>
      <c r="BS11" s="62">
        <f>60+63</f>
        <v>123</v>
      </c>
      <c r="BT11" s="35"/>
      <c r="BU11" s="62">
        <f>102+95</f>
        <v>197</v>
      </c>
      <c r="BV11" s="35"/>
      <c r="BW11" s="62">
        <f>173+189</f>
        <v>362</v>
      </c>
      <c r="BX11" s="35"/>
      <c r="BY11" s="115">
        <f>316+320</f>
        <v>636</v>
      </c>
      <c r="CA11" s="115">
        <v>1805</v>
      </c>
      <c r="CC11" s="115">
        <v>375</v>
      </c>
      <c r="CE11" s="62"/>
      <c r="CG11" s="115">
        <f t="shared" ref="CG11:CG27" si="0">+SUM(BY11:CE11)</f>
        <v>2816</v>
      </c>
      <c r="DO11" s="37"/>
      <c r="DP11" s="37"/>
    </row>
    <row r="12" spans="1:120" x14ac:dyDescent="0.2">
      <c r="A12" s="61" t="s">
        <v>54</v>
      </c>
      <c r="C12" s="62">
        <f>185+170</f>
        <v>355</v>
      </c>
      <c r="D12" s="35"/>
      <c r="E12" s="62">
        <f>123+127</f>
        <v>250</v>
      </c>
      <c r="F12" s="35"/>
      <c r="G12" s="62">
        <f>1+3</f>
        <v>4</v>
      </c>
      <c r="H12" s="35"/>
      <c r="I12" s="62">
        <f>1+1</f>
        <v>2</v>
      </c>
      <c r="J12" s="35"/>
      <c r="K12" s="62">
        <f>2+1</f>
        <v>3</v>
      </c>
      <c r="L12" s="35"/>
      <c r="M12" s="62">
        <f>4+1</f>
        <v>5</v>
      </c>
      <c r="N12" s="35"/>
      <c r="O12" s="62">
        <v>1</v>
      </c>
      <c r="P12" s="35"/>
      <c r="Q12" s="62">
        <v>0</v>
      </c>
      <c r="R12" s="35"/>
      <c r="S12" s="62">
        <f>152+133</f>
        <v>285</v>
      </c>
      <c r="T12" s="35"/>
      <c r="U12" s="62">
        <f>159+170</f>
        <v>329</v>
      </c>
      <c r="V12" s="35"/>
      <c r="W12" s="62">
        <f>2+4</f>
        <v>6</v>
      </c>
      <c r="X12" s="35"/>
      <c r="Y12" s="62">
        <v>1</v>
      </c>
      <c r="Z12" s="35"/>
      <c r="AA12" s="62">
        <f>3+2</f>
        <v>5</v>
      </c>
      <c r="AB12" s="35"/>
      <c r="AC12" s="62">
        <v>0</v>
      </c>
      <c r="AD12" s="35"/>
      <c r="AE12" s="62">
        <f>182+171</f>
        <v>353</v>
      </c>
      <c r="AF12" s="35"/>
      <c r="AG12" s="62">
        <f>133+136</f>
        <v>269</v>
      </c>
      <c r="AH12" s="35"/>
      <c r="AI12" s="62"/>
      <c r="AJ12" s="35"/>
      <c r="AK12" s="62"/>
      <c r="AL12" s="35"/>
      <c r="AM12" s="62">
        <f>192+169</f>
        <v>361</v>
      </c>
      <c r="AN12" s="35"/>
      <c r="AO12" s="62">
        <f>180+156</f>
        <v>336</v>
      </c>
      <c r="AP12" s="35"/>
      <c r="AQ12" s="62">
        <f>113+129</f>
        <v>242</v>
      </c>
      <c r="AR12" s="35"/>
      <c r="AS12" s="62">
        <f>123+129</f>
        <v>252</v>
      </c>
      <c r="AT12" s="35"/>
      <c r="AU12" s="62">
        <f>4+11</f>
        <v>15</v>
      </c>
      <c r="AV12" s="35"/>
      <c r="AW12" s="62">
        <f>48+39</f>
        <v>87</v>
      </c>
      <c r="AX12" s="35"/>
      <c r="AY12" s="62">
        <f>83+71</f>
        <v>154</v>
      </c>
      <c r="AZ12" s="35"/>
      <c r="BA12" s="62">
        <f>39+46</f>
        <v>85</v>
      </c>
      <c r="BB12" s="35"/>
      <c r="BC12" s="62">
        <f>123+103</f>
        <v>226</v>
      </c>
      <c r="BD12" s="35"/>
      <c r="BE12" s="62">
        <f>111+115</f>
        <v>226</v>
      </c>
      <c r="BF12" s="35"/>
      <c r="BG12" s="62">
        <f>20+27</f>
        <v>47</v>
      </c>
      <c r="BH12" s="35"/>
      <c r="BI12" s="62">
        <f>94+111</f>
        <v>205</v>
      </c>
      <c r="BJ12" s="35"/>
      <c r="BK12" s="62">
        <f>36+38</f>
        <v>74</v>
      </c>
      <c r="BL12" s="35"/>
      <c r="BM12" s="62">
        <f>32+26</f>
        <v>58</v>
      </c>
      <c r="BN12" s="35"/>
      <c r="BO12" s="62">
        <f>55+48</f>
        <v>103</v>
      </c>
      <c r="BP12" s="35"/>
      <c r="BQ12" s="62">
        <f>97+99</f>
        <v>196</v>
      </c>
      <c r="BR12" s="35"/>
      <c r="BS12" s="62">
        <f>80+76</f>
        <v>156</v>
      </c>
      <c r="BT12" s="35"/>
      <c r="BU12" s="62">
        <f>98+98</f>
        <v>196</v>
      </c>
      <c r="BV12" s="35"/>
      <c r="BW12" s="62">
        <f>172+182</f>
        <v>354</v>
      </c>
      <c r="BX12" s="35"/>
      <c r="BY12" s="115">
        <f>320+313</f>
        <v>633</v>
      </c>
      <c r="CA12" s="115"/>
      <c r="CC12" s="115"/>
      <c r="CE12" s="62"/>
      <c r="CG12" s="115">
        <f t="shared" si="0"/>
        <v>633</v>
      </c>
      <c r="DO12" s="37"/>
      <c r="DP12" s="37"/>
    </row>
    <row r="13" spans="1:120" x14ac:dyDescent="0.2">
      <c r="A13" s="61" t="s">
        <v>55</v>
      </c>
      <c r="C13" s="62">
        <f>196+198</f>
        <v>394</v>
      </c>
      <c r="D13" s="35"/>
      <c r="E13" s="62">
        <f>154+144</f>
        <v>298</v>
      </c>
      <c r="F13" s="35"/>
      <c r="G13" s="62">
        <f>2+5</f>
        <v>7</v>
      </c>
      <c r="H13" s="35"/>
      <c r="I13" s="62">
        <v>4</v>
      </c>
      <c r="J13" s="35"/>
      <c r="K13" s="62">
        <f>1+4</f>
        <v>5</v>
      </c>
      <c r="L13" s="35"/>
      <c r="M13" s="62">
        <v>0</v>
      </c>
      <c r="N13" s="35"/>
      <c r="O13" s="62">
        <f>3+1</f>
        <v>4</v>
      </c>
      <c r="P13" s="35"/>
      <c r="Q13" s="62">
        <v>0</v>
      </c>
      <c r="R13" s="35"/>
      <c r="S13" s="62">
        <f>166+172</f>
        <v>338</v>
      </c>
      <c r="T13" s="35"/>
      <c r="U13" s="62">
        <f>187+183</f>
        <v>370</v>
      </c>
      <c r="V13" s="35"/>
      <c r="W13" s="62">
        <f>2+4</f>
        <v>6</v>
      </c>
      <c r="X13" s="35"/>
      <c r="Y13" s="62">
        <v>1</v>
      </c>
      <c r="Z13" s="35"/>
      <c r="AA13" s="62">
        <v>2</v>
      </c>
      <c r="AB13" s="35"/>
      <c r="AC13" s="62">
        <v>0</v>
      </c>
      <c r="AD13" s="35"/>
      <c r="AE13" s="62">
        <f>187+196</f>
        <v>383</v>
      </c>
      <c r="AF13" s="35"/>
      <c r="AG13" s="62">
        <f>162+156</f>
        <v>318</v>
      </c>
      <c r="AH13" s="35"/>
      <c r="AI13" s="62" t="s">
        <v>108</v>
      </c>
      <c r="AJ13" s="35"/>
      <c r="AK13" s="62"/>
      <c r="AL13" s="35"/>
      <c r="AM13" s="62">
        <f>202+197</f>
        <v>399</v>
      </c>
      <c r="AN13" s="35"/>
      <c r="AO13" s="62">
        <f>188+189</f>
        <v>377</v>
      </c>
      <c r="AP13" s="35"/>
      <c r="AQ13" s="62">
        <f>150+145</f>
        <v>295</v>
      </c>
      <c r="AR13" s="35"/>
      <c r="AS13" s="62">
        <f>149+148</f>
        <v>297</v>
      </c>
      <c r="AT13" s="35"/>
      <c r="AU13" s="62">
        <f>9+3</f>
        <v>12</v>
      </c>
      <c r="AV13" s="35"/>
      <c r="AW13" s="62">
        <f>53+62</f>
        <v>115</v>
      </c>
      <c r="AX13" s="35"/>
      <c r="AY13" s="62">
        <f>91+83</f>
        <v>174</v>
      </c>
      <c r="AZ13" s="35"/>
      <c r="BA13" s="62">
        <f>47+54</f>
        <v>101</v>
      </c>
      <c r="BB13" s="35"/>
      <c r="BC13" s="62">
        <f>105+82</f>
        <v>187</v>
      </c>
      <c r="BD13" s="35"/>
      <c r="BE13" s="62">
        <f>95+100</f>
        <v>195</v>
      </c>
      <c r="BF13" s="35"/>
      <c r="BG13" s="62">
        <f>39+35</f>
        <v>74</v>
      </c>
      <c r="BH13" s="35"/>
      <c r="BI13" s="62">
        <f>114+110</f>
        <v>224</v>
      </c>
      <c r="BJ13" s="35"/>
      <c r="BK13" s="62">
        <f>50+36</f>
        <v>86</v>
      </c>
      <c r="BL13" s="35"/>
      <c r="BM13" s="62">
        <f>46+35</f>
        <v>81</v>
      </c>
      <c r="BN13" s="35"/>
      <c r="BO13" s="62">
        <f>65+58</f>
        <v>123</v>
      </c>
      <c r="BP13" s="35"/>
      <c r="BQ13" s="62">
        <f>99+100</f>
        <v>199</v>
      </c>
      <c r="BR13" s="35"/>
      <c r="BS13" s="62">
        <f>92+89</f>
        <v>181</v>
      </c>
      <c r="BT13" s="35"/>
      <c r="BU13" s="62">
        <f>126+115</f>
        <v>241</v>
      </c>
      <c r="BV13" s="35"/>
      <c r="BW13" s="62">
        <f>190+188</f>
        <v>378</v>
      </c>
      <c r="BX13" s="35"/>
      <c r="BY13" s="115">
        <f>363+360</f>
        <v>723</v>
      </c>
      <c r="CA13" s="115"/>
      <c r="CC13" s="115"/>
      <c r="CE13" s="62"/>
      <c r="CG13" s="115">
        <f t="shared" si="0"/>
        <v>723</v>
      </c>
      <c r="DO13" s="37"/>
      <c r="DP13" s="37"/>
    </row>
    <row r="14" spans="1:120" x14ac:dyDescent="0.2">
      <c r="A14" s="61" t="s">
        <v>56</v>
      </c>
      <c r="C14" s="62">
        <f>246+242</f>
        <v>488</v>
      </c>
      <c r="D14" s="35"/>
      <c r="E14" s="62">
        <f>123+126</f>
        <v>249</v>
      </c>
      <c r="F14" s="35"/>
      <c r="G14" s="62">
        <f>5+2</f>
        <v>7</v>
      </c>
      <c r="H14" s="35"/>
      <c r="I14" s="62">
        <v>1</v>
      </c>
      <c r="J14" s="35"/>
      <c r="K14" s="62">
        <f>3+8</f>
        <v>11</v>
      </c>
      <c r="L14" s="35"/>
      <c r="M14" s="62">
        <f>5+2</f>
        <v>7</v>
      </c>
      <c r="N14" s="35"/>
      <c r="O14" s="62">
        <v>1</v>
      </c>
      <c r="P14" s="35"/>
      <c r="Q14" s="62">
        <v>0</v>
      </c>
      <c r="R14" s="35"/>
      <c r="S14" s="62">
        <f>224+207</f>
        <v>431</v>
      </c>
      <c r="T14" s="35"/>
      <c r="U14" s="62">
        <f>152+165</f>
        <v>317</v>
      </c>
      <c r="V14" s="35"/>
      <c r="W14" s="62">
        <f>1+1</f>
        <v>2</v>
      </c>
      <c r="X14" s="35"/>
      <c r="Y14" s="62">
        <v>1</v>
      </c>
      <c r="Z14" s="35"/>
      <c r="AA14" s="62">
        <f>4+9</f>
        <v>13</v>
      </c>
      <c r="AB14" s="35"/>
      <c r="AC14" s="62">
        <v>0</v>
      </c>
      <c r="AD14" s="35"/>
      <c r="AE14" s="62">
        <f>262+251</f>
        <v>513</v>
      </c>
      <c r="AF14" s="35"/>
      <c r="AG14" s="62">
        <f>116+122</f>
        <v>238</v>
      </c>
      <c r="AH14" s="35"/>
      <c r="AI14" s="62" t="s">
        <v>108</v>
      </c>
      <c r="AJ14" s="35"/>
      <c r="AK14" s="62"/>
      <c r="AL14" s="35"/>
      <c r="AM14" s="62">
        <f>262+255</f>
        <v>517</v>
      </c>
      <c r="AN14" s="35"/>
      <c r="AO14" s="62">
        <f>243+239</f>
        <v>482</v>
      </c>
      <c r="AP14" s="35"/>
      <c r="AQ14" s="62">
        <f>111+120</f>
        <v>231</v>
      </c>
      <c r="AR14" s="35"/>
      <c r="AS14" s="62">
        <f>119+115</f>
        <v>234</v>
      </c>
      <c r="AT14" s="35"/>
      <c r="AU14" s="62">
        <f>9+9</f>
        <v>18</v>
      </c>
      <c r="AV14" s="35"/>
      <c r="AW14" s="62">
        <f>54+47</f>
        <v>101</v>
      </c>
      <c r="AX14" s="35"/>
      <c r="AY14" s="62">
        <f>100+79</f>
        <v>179</v>
      </c>
      <c r="AZ14" s="35"/>
      <c r="BA14" s="62">
        <f>51+52</f>
        <v>103</v>
      </c>
      <c r="BB14" s="35"/>
      <c r="BC14" s="62">
        <f>119+132</f>
        <v>251</v>
      </c>
      <c r="BD14" s="35"/>
      <c r="BE14" s="62">
        <f>119+110</f>
        <v>229</v>
      </c>
      <c r="BF14" s="35"/>
      <c r="BG14" s="62">
        <f>36+51</f>
        <v>87</v>
      </c>
      <c r="BH14" s="35"/>
      <c r="BI14" s="62">
        <f>118+104</f>
        <v>222</v>
      </c>
      <c r="BJ14" s="35"/>
      <c r="BK14" s="62">
        <f>33+40</f>
        <v>73</v>
      </c>
      <c r="BL14" s="35"/>
      <c r="BM14" s="62">
        <f>33+31</f>
        <v>64</v>
      </c>
      <c r="BN14" s="35"/>
      <c r="BO14" s="62">
        <f>65+69</f>
        <v>134</v>
      </c>
      <c r="BP14" s="35"/>
      <c r="BQ14" s="62">
        <f>123+112</f>
        <v>235</v>
      </c>
      <c r="BR14" s="35"/>
      <c r="BS14" s="62">
        <f>88+82</f>
        <v>170</v>
      </c>
      <c r="BT14" s="35"/>
      <c r="BU14" s="62">
        <f>119+103</f>
        <v>222</v>
      </c>
      <c r="BV14" s="35"/>
      <c r="BW14" s="62">
        <f>229+258</f>
        <v>487</v>
      </c>
      <c r="BX14" s="35"/>
      <c r="BY14" s="115">
        <f>388+389</f>
        <v>777</v>
      </c>
      <c r="CA14" s="115"/>
      <c r="CC14" s="115"/>
      <c r="CE14" s="62"/>
      <c r="CG14" s="115">
        <f t="shared" si="0"/>
        <v>777</v>
      </c>
      <c r="DO14" s="37"/>
      <c r="DP14" s="37"/>
    </row>
    <row r="15" spans="1:120" x14ac:dyDescent="0.2">
      <c r="A15" s="61" t="s">
        <v>57</v>
      </c>
      <c r="C15" s="62">
        <f>285+311</f>
        <v>596</v>
      </c>
      <c r="D15" s="35"/>
      <c r="E15" s="62">
        <f>167+176</f>
        <v>343</v>
      </c>
      <c r="F15" s="35"/>
      <c r="G15" s="62">
        <f>2+11</f>
        <v>13</v>
      </c>
      <c r="H15" s="35"/>
      <c r="I15" s="62">
        <f>1+1</f>
        <v>2</v>
      </c>
      <c r="J15" s="35"/>
      <c r="K15" s="62">
        <f>8+2</f>
        <v>10</v>
      </c>
      <c r="L15" s="35"/>
      <c r="M15" s="62">
        <f>1+2</f>
        <v>3</v>
      </c>
      <c r="N15" s="35"/>
      <c r="O15" s="62">
        <f>1+1</f>
        <v>2</v>
      </c>
      <c r="P15" s="35"/>
      <c r="Q15" s="62">
        <f>2+2</f>
        <v>4</v>
      </c>
      <c r="R15" s="35"/>
      <c r="S15" s="62">
        <f>240+248</f>
        <v>488</v>
      </c>
      <c r="T15" s="35"/>
      <c r="U15" s="62">
        <f>218+251</f>
        <v>469</v>
      </c>
      <c r="V15" s="35"/>
      <c r="W15" s="62">
        <f>1+3</f>
        <v>4</v>
      </c>
      <c r="X15" s="35"/>
      <c r="Y15" s="62">
        <v>0</v>
      </c>
      <c r="Z15" s="35"/>
      <c r="AA15" s="62">
        <v>8</v>
      </c>
      <c r="AB15" s="35"/>
      <c r="AC15" s="62">
        <f>1+1</f>
        <v>2</v>
      </c>
      <c r="AD15" s="35"/>
      <c r="AE15" s="62">
        <f>290+296</f>
        <v>586</v>
      </c>
      <c r="AF15" s="35"/>
      <c r="AG15" s="62">
        <f>170+200</f>
        <v>370</v>
      </c>
      <c r="AH15" s="35"/>
      <c r="AI15" s="62">
        <f>277+306</f>
        <v>583</v>
      </c>
      <c r="AJ15" s="35"/>
      <c r="AK15" s="62">
        <f>173+190</f>
        <v>363</v>
      </c>
      <c r="AL15" s="35"/>
      <c r="AM15" s="62">
        <f>297+300</f>
        <v>597</v>
      </c>
      <c r="AN15" s="35"/>
      <c r="AO15" s="62">
        <f>271+284</f>
        <v>555</v>
      </c>
      <c r="AP15" s="35"/>
      <c r="AQ15" s="62">
        <f>158+194</f>
        <v>352</v>
      </c>
      <c r="AR15" s="35"/>
      <c r="AS15" s="62">
        <f>172+197</f>
        <v>369</v>
      </c>
      <c r="AT15" s="35"/>
      <c r="AU15" s="62">
        <f>10+9</f>
        <v>19</v>
      </c>
      <c r="AV15" s="35"/>
      <c r="AW15" s="62">
        <f>59+69</f>
        <v>128</v>
      </c>
      <c r="AX15" s="35"/>
      <c r="AY15" s="62">
        <f>121+132</f>
        <v>253</v>
      </c>
      <c r="AZ15" s="35"/>
      <c r="BA15" s="62">
        <f>54+65</f>
        <v>119</v>
      </c>
      <c r="BB15" s="35"/>
      <c r="BC15" s="62">
        <f>132+154</f>
        <v>286</v>
      </c>
      <c r="BD15" s="35"/>
      <c r="BE15" s="62">
        <f>156+160</f>
        <v>316</v>
      </c>
      <c r="BF15" s="35"/>
      <c r="BG15" s="62">
        <f>32+54</f>
        <v>86</v>
      </c>
      <c r="BH15" s="35"/>
      <c r="BI15" s="62">
        <f>139+168</f>
        <v>307</v>
      </c>
      <c r="BJ15" s="35"/>
      <c r="BK15" s="62">
        <f>37+41</f>
        <v>78</v>
      </c>
      <c r="BL15" s="35"/>
      <c r="BM15" s="62">
        <f>44+43</f>
        <v>87</v>
      </c>
      <c r="BN15" s="35"/>
      <c r="BO15" s="62">
        <f>76+92</f>
        <v>168</v>
      </c>
      <c r="BP15" s="35"/>
      <c r="BQ15" s="62">
        <f>133+160</f>
        <v>293</v>
      </c>
      <c r="BR15" s="35"/>
      <c r="BS15" s="62">
        <f>98+118</f>
        <v>216</v>
      </c>
      <c r="BT15" s="35"/>
      <c r="BU15" s="62">
        <f>144+138</f>
        <v>282</v>
      </c>
      <c r="BV15" s="35"/>
      <c r="BW15" s="62">
        <f>279+298</f>
        <v>577</v>
      </c>
      <c r="BX15" s="35"/>
      <c r="BY15" s="115">
        <f>479+514</f>
        <v>993</v>
      </c>
      <c r="CA15" s="115"/>
      <c r="CC15" s="115"/>
      <c r="CE15" s="62"/>
      <c r="CG15" s="115">
        <f t="shared" si="0"/>
        <v>993</v>
      </c>
      <c r="DO15" s="37"/>
      <c r="DP15" s="37"/>
    </row>
    <row r="16" spans="1:120" s="10" customFormat="1" x14ac:dyDescent="0.2">
      <c r="A16" s="61" t="s">
        <v>58</v>
      </c>
      <c r="C16" s="62">
        <f>198+195</f>
        <v>393</v>
      </c>
      <c r="D16" s="35"/>
      <c r="E16" s="62">
        <f>126+120</f>
        <v>246</v>
      </c>
      <c r="F16" s="35"/>
      <c r="G16" s="62">
        <f>2+6</f>
        <v>8</v>
      </c>
      <c r="H16" s="35"/>
      <c r="I16" s="62">
        <f>1+1</f>
        <v>2</v>
      </c>
      <c r="J16" s="35"/>
      <c r="K16" s="62">
        <f>1+1</f>
        <v>2</v>
      </c>
      <c r="L16" s="35"/>
      <c r="M16" s="62">
        <f>1+3</f>
        <v>4</v>
      </c>
      <c r="N16" s="35"/>
      <c r="O16" s="62">
        <v>0</v>
      </c>
      <c r="P16" s="35"/>
      <c r="Q16" s="62">
        <f>1+1</f>
        <v>2</v>
      </c>
      <c r="R16" s="35"/>
      <c r="S16" s="62">
        <f>161+165</f>
        <v>326</v>
      </c>
      <c r="T16" s="35"/>
      <c r="U16" s="62">
        <f>160+154</f>
        <v>314</v>
      </c>
      <c r="V16" s="35"/>
      <c r="W16" s="62">
        <f>3+4</f>
        <v>7</v>
      </c>
      <c r="X16" s="35"/>
      <c r="Y16" s="62">
        <v>1</v>
      </c>
      <c r="Z16" s="35"/>
      <c r="AA16" s="62">
        <f>1+2</f>
        <v>3</v>
      </c>
      <c r="AB16" s="35"/>
      <c r="AC16" s="62">
        <f>1+1</f>
        <v>2</v>
      </c>
      <c r="AD16" s="35"/>
      <c r="AE16" s="62">
        <f>202+205</f>
        <v>407</v>
      </c>
      <c r="AF16" s="35"/>
      <c r="AG16" s="62">
        <f>120+116</f>
        <v>236</v>
      </c>
      <c r="AH16" s="35"/>
      <c r="AI16" s="62"/>
      <c r="AJ16" s="35"/>
      <c r="AK16" s="62"/>
      <c r="AL16" s="35"/>
      <c r="AM16" s="62">
        <f>208+218</f>
        <v>426</v>
      </c>
      <c r="AN16" s="35"/>
      <c r="AO16" s="62">
        <f>195+208</f>
        <v>403</v>
      </c>
      <c r="AP16" s="35"/>
      <c r="AQ16" s="62">
        <f>108+106</f>
        <v>214</v>
      </c>
      <c r="AR16" s="35"/>
      <c r="AS16" s="62">
        <f>115+106</f>
        <v>221</v>
      </c>
      <c r="AT16" s="35"/>
      <c r="AU16" s="62">
        <f>3+3</f>
        <v>6</v>
      </c>
      <c r="AV16" s="35"/>
      <c r="AW16" s="62">
        <f>48+48</f>
        <v>96</v>
      </c>
      <c r="AX16" s="35"/>
      <c r="AY16" s="62">
        <f>91+78</f>
        <v>169</v>
      </c>
      <c r="AZ16" s="35"/>
      <c r="BA16" s="62">
        <f>64+72</f>
        <v>136</v>
      </c>
      <c r="BB16" s="35"/>
      <c r="BC16" s="62">
        <f>102+97</f>
        <v>199</v>
      </c>
      <c r="BD16" s="35"/>
      <c r="BE16" s="62">
        <f>121+109</f>
        <v>230</v>
      </c>
      <c r="BF16" s="35"/>
      <c r="BG16" s="62">
        <f>42+26</f>
        <v>68</v>
      </c>
      <c r="BH16" s="35"/>
      <c r="BI16" s="62">
        <f>112+129</f>
        <v>241</v>
      </c>
      <c r="BJ16" s="35"/>
      <c r="BK16" s="62">
        <f>26+25</f>
        <v>51</v>
      </c>
      <c r="BL16" s="35"/>
      <c r="BM16" s="62">
        <f>18+28</f>
        <v>46</v>
      </c>
      <c r="BN16" s="35"/>
      <c r="BO16" s="62">
        <f>57+65</f>
        <v>122</v>
      </c>
      <c r="BP16" s="35"/>
      <c r="BQ16" s="62">
        <f>122+104</f>
        <v>226</v>
      </c>
      <c r="BR16" s="35"/>
      <c r="BS16" s="62">
        <f>75+84</f>
        <v>159</v>
      </c>
      <c r="BT16" s="35"/>
      <c r="BU16" s="62">
        <f>102+100</f>
        <v>202</v>
      </c>
      <c r="BV16" s="35"/>
      <c r="BW16" s="62">
        <f>188+190</f>
        <v>378</v>
      </c>
      <c r="BX16" s="35"/>
      <c r="BY16" s="115">
        <f>334+332</f>
        <v>666</v>
      </c>
      <c r="BZ16" s="20"/>
      <c r="CA16" s="115"/>
      <c r="CB16" s="42"/>
      <c r="CC16" s="115"/>
      <c r="CD16" s="20"/>
      <c r="CE16" s="62"/>
      <c r="CF16" s="20"/>
      <c r="CG16" s="115">
        <f t="shared" si="0"/>
        <v>666</v>
      </c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</row>
    <row r="17" spans="1:120" x14ac:dyDescent="0.2">
      <c r="A17" s="61" t="s">
        <v>60</v>
      </c>
      <c r="C17" s="62">
        <f>178+177</f>
        <v>355</v>
      </c>
      <c r="D17" s="35"/>
      <c r="E17" s="62">
        <f>149+137</f>
        <v>286</v>
      </c>
      <c r="F17" s="35"/>
      <c r="G17" s="62">
        <f>8+6</f>
        <v>14</v>
      </c>
      <c r="H17" s="35"/>
      <c r="I17" s="62">
        <f>2+2</f>
        <v>4</v>
      </c>
      <c r="J17" s="35"/>
      <c r="K17" s="62">
        <f>1+4</f>
        <v>5</v>
      </c>
      <c r="L17" s="35"/>
      <c r="M17" s="62">
        <f>2+2</f>
        <v>4</v>
      </c>
      <c r="N17" s="35"/>
      <c r="O17" s="62">
        <v>1</v>
      </c>
      <c r="P17" s="35"/>
      <c r="Q17" s="62">
        <v>2</v>
      </c>
      <c r="R17" s="35"/>
      <c r="S17" s="62">
        <f>146+154</f>
        <v>300</v>
      </c>
      <c r="T17" s="35"/>
      <c r="U17" s="62">
        <f>188+170</f>
        <v>358</v>
      </c>
      <c r="V17" s="35"/>
      <c r="W17" s="62">
        <v>2</v>
      </c>
      <c r="X17" s="35"/>
      <c r="Y17" s="62">
        <f>2+1</f>
        <v>3</v>
      </c>
      <c r="Z17" s="35"/>
      <c r="AA17" s="62">
        <f>1+3</f>
        <v>4</v>
      </c>
      <c r="AB17" s="35"/>
      <c r="AC17" s="62">
        <v>2</v>
      </c>
      <c r="AD17" s="35"/>
      <c r="AE17" s="62">
        <f>180+190</f>
        <v>370</v>
      </c>
      <c r="AF17" s="35"/>
      <c r="AG17" s="62">
        <f>149+136</f>
        <v>285</v>
      </c>
      <c r="AH17" s="35"/>
      <c r="AI17" s="62"/>
      <c r="AJ17" s="35"/>
      <c r="AK17" s="62"/>
      <c r="AL17" s="35"/>
      <c r="AM17" s="62">
        <f>184+187</f>
        <v>371</v>
      </c>
      <c r="AN17" s="35"/>
      <c r="AO17" s="62">
        <f>174+172</f>
        <v>346</v>
      </c>
      <c r="AP17" s="35"/>
      <c r="AQ17" s="62">
        <f>142+137</f>
        <v>279</v>
      </c>
      <c r="AR17" s="35"/>
      <c r="AS17" s="62">
        <f>141+138</f>
        <v>279</v>
      </c>
      <c r="AT17" s="35"/>
      <c r="AU17" s="62">
        <f>5+7</f>
        <v>12</v>
      </c>
      <c r="AV17" s="35"/>
      <c r="AW17" s="62">
        <f>52+55</f>
        <v>107</v>
      </c>
      <c r="AX17" s="35"/>
      <c r="AY17" s="62">
        <f>76+76</f>
        <v>152</v>
      </c>
      <c r="AZ17" s="35"/>
      <c r="BA17" s="62">
        <f>51+45</f>
        <v>96</v>
      </c>
      <c r="BB17" s="35"/>
      <c r="BC17" s="62">
        <f>89+88</f>
        <v>177</v>
      </c>
      <c r="BD17" s="35"/>
      <c r="BE17" s="62">
        <f>106+104</f>
        <v>210</v>
      </c>
      <c r="BF17" s="35"/>
      <c r="BG17" s="62">
        <f>18+25</f>
        <v>43</v>
      </c>
      <c r="BH17" s="35"/>
      <c r="BI17" s="62">
        <f>125+97</f>
        <v>222</v>
      </c>
      <c r="BJ17" s="35"/>
      <c r="BK17" s="62">
        <f>48+42</f>
        <v>90</v>
      </c>
      <c r="BL17" s="35"/>
      <c r="BM17" s="62">
        <f>34+34</f>
        <v>68</v>
      </c>
      <c r="BN17" s="35"/>
      <c r="BO17" s="62">
        <f>62+50</f>
        <v>112</v>
      </c>
      <c r="BP17" s="35"/>
      <c r="BQ17" s="62">
        <f>91+96</f>
        <v>187</v>
      </c>
      <c r="BR17" s="35"/>
      <c r="BS17" s="62">
        <f>104+98</f>
        <v>202</v>
      </c>
      <c r="BT17" s="35"/>
      <c r="BU17" s="62">
        <f>123+112</f>
        <v>235</v>
      </c>
      <c r="BV17" s="35"/>
      <c r="BW17" s="62">
        <f>182+181</f>
        <v>363</v>
      </c>
      <c r="BX17" s="35"/>
      <c r="BY17" s="115">
        <f>342+334</f>
        <v>676</v>
      </c>
      <c r="CA17" s="115"/>
      <c r="CC17" s="115"/>
      <c r="CE17" s="62"/>
      <c r="CG17" s="115">
        <f t="shared" si="0"/>
        <v>676</v>
      </c>
      <c r="DO17" s="37"/>
      <c r="DP17" s="37"/>
    </row>
    <row r="18" spans="1:120" x14ac:dyDescent="0.2">
      <c r="A18" s="61" t="s">
        <v>61</v>
      </c>
      <c r="C18" s="62">
        <f>110+103</f>
        <v>213</v>
      </c>
      <c r="D18" s="35"/>
      <c r="E18" s="62">
        <f>200+197</f>
        <v>397</v>
      </c>
      <c r="F18" s="35"/>
      <c r="G18" s="62">
        <f>7+7</f>
        <v>14</v>
      </c>
      <c r="H18" s="35"/>
      <c r="I18" s="62">
        <v>0</v>
      </c>
      <c r="J18" s="35"/>
      <c r="K18" s="62">
        <f>1+1</f>
        <v>2</v>
      </c>
      <c r="L18" s="35"/>
      <c r="M18" s="62">
        <f>1+1</f>
        <v>2</v>
      </c>
      <c r="N18" s="35"/>
      <c r="O18" s="62">
        <f>2+2</f>
        <v>4</v>
      </c>
      <c r="P18" s="35"/>
      <c r="Q18" s="62">
        <v>0</v>
      </c>
      <c r="R18" s="35"/>
      <c r="S18" s="62">
        <f>95+86</f>
        <v>181</v>
      </c>
      <c r="T18" s="35"/>
      <c r="U18" s="62">
        <f>214+206</f>
        <v>420</v>
      </c>
      <c r="V18" s="35"/>
      <c r="W18" s="62">
        <f>3+2</f>
        <v>5</v>
      </c>
      <c r="X18" s="35"/>
      <c r="Y18" s="62">
        <v>1</v>
      </c>
      <c r="Z18" s="35"/>
      <c r="AA18" s="62">
        <f>1+1</f>
        <v>2</v>
      </c>
      <c r="AB18" s="35"/>
      <c r="AC18" s="62">
        <v>3</v>
      </c>
      <c r="AD18" s="35"/>
      <c r="AE18" s="62">
        <f>113+103</f>
        <v>216</v>
      </c>
      <c r="AF18" s="35"/>
      <c r="AG18" s="62">
        <f>202+197</f>
        <v>399</v>
      </c>
      <c r="AH18" s="35"/>
      <c r="AI18" s="62"/>
      <c r="AJ18" s="35"/>
      <c r="AK18" s="62"/>
      <c r="AL18" s="35"/>
      <c r="AM18" s="62">
        <f>113+111</f>
        <v>224</v>
      </c>
      <c r="AN18" s="35"/>
      <c r="AO18" s="62">
        <f>100+91</f>
        <v>191</v>
      </c>
      <c r="AP18" s="35"/>
      <c r="AQ18" s="62">
        <f>202+187</f>
        <v>389</v>
      </c>
      <c r="AR18" s="35"/>
      <c r="AS18" s="62">
        <f>190+180</f>
        <v>370</v>
      </c>
      <c r="AT18" s="35"/>
      <c r="AU18" s="62">
        <f>1+3</f>
        <v>4</v>
      </c>
      <c r="AV18" s="35"/>
      <c r="AW18" s="62">
        <f>50+56</f>
        <v>106</v>
      </c>
      <c r="AX18" s="35"/>
      <c r="AY18" s="62">
        <f>53+54</f>
        <v>107</v>
      </c>
      <c r="AZ18" s="35"/>
      <c r="BA18" s="62">
        <f>31+32</f>
        <v>63</v>
      </c>
      <c r="BB18" s="35"/>
      <c r="BC18" s="62">
        <f>48+51</f>
        <v>99</v>
      </c>
      <c r="BD18" s="35"/>
      <c r="BE18" s="62">
        <f>64+50</f>
        <v>114</v>
      </c>
      <c r="BF18" s="35"/>
      <c r="BG18" s="62">
        <f>16+23</f>
        <v>39</v>
      </c>
      <c r="BH18" s="35"/>
      <c r="BI18" s="62">
        <f>59+57</f>
        <v>116</v>
      </c>
      <c r="BJ18" s="35"/>
      <c r="BK18" s="62">
        <f>45+55</f>
        <v>100</v>
      </c>
      <c r="BL18" s="35"/>
      <c r="BM18" s="62">
        <f>39+41</f>
        <v>80</v>
      </c>
      <c r="BN18" s="35"/>
      <c r="BO18" s="62">
        <f>17+25</f>
        <v>42</v>
      </c>
      <c r="BP18" s="35"/>
      <c r="BQ18" s="62">
        <f>49+46</f>
        <v>95</v>
      </c>
      <c r="BR18" s="35"/>
      <c r="BS18" s="62">
        <f>80+92</f>
        <v>172</v>
      </c>
      <c r="BT18" s="35"/>
      <c r="BU18" s="62">
        <f>123+124</f>
        <v>247</v>
      </c>
      <c r="BV18" s="35"/>
      <c r="BW18" s="62">
        <f>97+91</f>
        <v>188</v>
      </c>
      <c r="BX18" s="35"/>
      <c r="BY18" s="115">
        <f>324+318</f>
        <v>642</v>
      </c>
      <c r="CA18" s="115"/>
      <c r="CC18" s="115"/>
      <c r="CE18" s="62"/>
      <c r="CG18" s="115">
        <f t="shared" si="0"/>
        <v>642</v>
      </c>
      <c r="DO18" s="37"/>
      <c r="DP18" s="37"/>
    </row>
    <row r="19" spans="1:120" x14ac:dyDescent="0.2">
      <c r="A19" s="61" t="s">
        <v>62</v>
      </c>
      <c r="C19" s="62">
        <f>201+202</f>
        <v>403</v>
      </c>
      <c r="D19" s="35"/>
      <c r="E19" s="62">
        <f>196+195</f>
        <v>391</v>
      </c>
      <c r="F19" s="35"/>
      <c r="G19" s="62">
        <f>6+9</f>
        <v>15</v>
      </c>
      <c r="H19" s="35"/>
      <c r="I19" s="62">
        <f>2+2</f>
        <v>4</v>
      </c>
      <c r="J19" s="35"/>
      <c r="K19" s="62">
        <f>4+2</f>
        <v>6</v>
      </c>
      <c r="L19" s="35"/>
      <c r="M19" s="62">
        <v>3</v>
      </c>
      <c r="N19" s="35"/>
      <c r="O19" s="62">
        <v>2</v>
      </c>
      <c r="P19" s="35"/>
      <c r="Q19" s="62">
        <v>1</v>
      </c>
      <c r="R19" s="35"/>
      <c r="S19" s="62">
        <f>159+180</f>
        <v>339</v>
      </c>
      <c r="T19" s="35"/>
      <c r="U19" s="62">
        <f>234+221</f>
        <v>455</v>
      </c>
      <c r="V19" s="35"/>
      <c r="W19" s="62">
        <f>5+1</f>
        <v>6</v>
      </c>
      <c r="X19" s="35"/>
      <c r="Y19" s="62">
        <f>1+1</f>
        <v>2</v>
      </c>
      <c r="Z19" s="35"/>
      <c r="AA19" s="62">
        <f>5+1</f>
        <v>6</v>
      </c>
      <c r="AB19" s="35"/>
      <c r="AC19" s="62">
        <f>2+2</f>
        <v>4</v>
      </c>
      <c r="AD19" s="35"/>
      <c r="AE19" s="62">
        <f>207+205</f>
        <v>412</v>
      </c>
      <c r="AF19" s="35"/>
      <c r="AG19" s="62">
        <f>189+197</f>
        <v>386</v>
      </c>
      <c r="AH19" s="35"/>
      <c r="AI19" s="62"/>
      <c r="AJ19" s="35"/>
      <c r="AK19" s="62"/>
      <c r="AL19" s="35"/>
      <c r="AM19" s="62">
        <f>211+223</f>
        <v>434</v>
      </c>
      <c r="AN19" s="35"/>
      <c r="AO19" s="62">
        <f>198+211</f>
        <v>409</v>
      </c>
      <c r="AP19" s="35"/>
      <c r="AQ19" s="62">
        <f>182+174</f>
        <v>356</v>
      </c>
      <c r="AR19" s="35"/>
      <c r="AS19" s="62">
        <f>179+179</f>
        <v>358</v>
      </c>
      <c r="AT19" s="35"/>
      <c r="AU19" s="62">
        <f>10+6</f>
        <v>16</v>
      </c>
      <c r="AV19" s="35"/>
      <c r="AW19" s="62">
        <f>65+63</f>
        <v>128</v>
      </c>
      <c r="AX19" s="35"/>
      <c r="AY19" s="62">
        <f>88+81</f>
        <v>169</v>
      </c>
      <c r="AZ19" s="35"/>
      <c r="BA19" s="62">
        <f>43+57</f>
        <v>100</v>
      </c>
      <c r="BB19" s="35"/>
      <c r="BC19" s="62">
        <f>78+91</f>
        <v>169</v>
      </c>
      <c r="BD19" s="35"/>
      <c r="BE19" s="62">
        <f>128+145</f>
        <v>273</v>
      </c>
      <c r="BF19" s="35"/>
      <c r="BG19" s="62">
        <f>33+41</f>
        <v>74</v>
      </c>
      <c r="BH19" s="35"/>
      <c r="BI19" s="62">
        <f>116+111</f>
        <v>227</v>
      </c>
      <c r="BJ19" s="35"/>
      <c r="BK19" s="62">
        <f>36+44</f>
        <v>80</v>
      </c>
      <c r="BL19" s="35"/>
      <c r="BM19" s="62">
        <f>29+34</f>
        <v>63</v>
      </c>
      <c r="BN19" s="35"/>
      <c r="BO19" s="62">
        <f>57+54</f>
        <v>111</v>
      </c>
      <c r="BP19" s="35"/>
      <c r="BQ19" s="62">
        <f>91+99</f>
        <v>190</v>
      </c>
      <c r="BR19" s="35"/>
      <c r="BS19" s="62">
        <f>83+94</f>
        <v>177</v>
      </c>
      <c r="BT19" s="35"/>
      <c r="BU19" s="62">
        <f>122+131</f>
        <v>253</v>
      </c>
      <c r="BV19" s="35"/>
      <c r="BW19" s="62">
        <f>173+178</f>
        <v>351</v>
      </c>
      <c r="BX19" s="35"/>
      <c r="BY19" s="115">
        <f>422+424</f>
        <v>846</v>
      </c>
      <c r="CA19" s="115"/>
      <c r="CC19" s="115"/>
      <c r="CE19" s="62"/>
      <c r="CG19" s="115">
        <f t="shared" si="0"/>
        <v>846</v>
      </c>
      <c r="DO19" s="37"/>
      <c r="DP19" s="37"/>
    </row>
    <row r="20" spans="1:120" s="10" customFormat="1" x14ac:dyDescent="0.2">
      <c r="A20" s="61" t="s">
        <v>63</v>
      </c>
      <c r="C20" s="62">
        <f>115+129</f>
        <v>244</v>
      </c>
      <c r="D20" s="35"/>
      <c r="E20" s="62">
        <f>195+198</f>
        <v>393</v>
      </c>
      <c r="F20" s="35"/>
      <c r="G20" s="62">
        <f>7+7</f>
        <v>14</v>
      </c>
      <c r="H20" s="35"/>
      <c r="I20" s="62">
        <f>2+2</f>
        <v>4</v>
      </c>
      <c r="J20" s="35"/>
      <c r="K20" s="62">
        <v>2</v>
      </c>
      <c r="L20" s="35"/>
      <c r="M20" s="62">
        <f>2+3</f>
        <v>5</v>
      </c>
      <c r="N20" s="35"/>
      <c r="O20" s="62">
        <f>1+1</f>
        <v>2</v>
      </c>
      <c r="P20" s="35"/>
      <c r="Q20" s="62">
        <v>1</v>
      </c>
      <c r="R20" s="35"/>
      <c r="S20" s="62">
        <f>96+111</f>
        <v>207</v>
      </c>
      <c r="T20" s="35"/>
      <c r="U20" s="62">
        <f>211+216</f>
        <v>427</v>
      </c>
      <c r="V20" s="35"/>
      <c r="W20" s="62">
        <v>1</v>
      </c>
      <c r="X20" s="35"/>
      <c r="Y20" s="62">
        <f>1+2</f>
        <v>3</v>
      </c>
      <c r="Z20" s="35"/>
      <c r="AA20" s="62">
        <f>1+2</f>
        <v>3</v>
      </c>
      <c r="AB20" s="35"/>
      <c r="AC20" s="62">
        <f>4+2</f>
        <v>6</v>
      </c>
      <c r="AD20" s="35"/>
      <c r="AE20" s="62">
        <f>120+131</f>
        <v>251</v>
      </c>
      <c r="AF20" s="35"/>
      <c r="AG20" s="62">
        <f>196+200</f>
        <v>396</v>
      </c>
      <c r="AH20" s="35"/>
      <c r="AI20" s="62"/>
      <c r="AJ20" s="35"/>
      <c r="AK20" s="62"/>
      <c r="AL20" s="35"/>
      <c r="AM20" s="62">
        <f>128+131</f>
        <v>259</v>
      </c>
      <c r="AN20" s="35"/>
      <c r="AO20" s="62">
        <f>105+127</f>
        <v>232</v>
      </c>
      <c r="AP20" s="35"/>
      <c r="AQ20" s="62">
        <f>187+191</f>
        <v>378</v>
      </c>
      <c r="AR20" s="35"/>
      <c r="AS20" s="62">
        <f>188+189</f>
        <v>377</v>
      </c>
      <c r="AT20" s="35"/>
      <c r="AU20" s="62">
        <f>4+8</f>
        <v>12</v>
      </c>
      <c r="AV20" s="35"/>
      <c r="AW20" s="62">
        <f>53+69</f>
        <v>122</v>
      </c>
      <c r="AX20" s="35"/>
      <c r="AY20" s="62">
        <f>69+78</f>
        <v>147</v>
      </c>
      <c r="AZ20" s="35"/>
      <c r="BA20" s="62">
        <f>50+60</f>
        <v>110</v>
      </c>
      <c r="BB20" s="35"/>
      <c r="BC20" s="62">
        <f>73+70</f>
        <v>143</v>
      </c>
      <c r="BD20" s="35"/>
      <c r="BE20" s="62">
        <f>83+93</f>
        <v>176</v>
      </c>
      <c r="BF20" s="35"/>
      <c r="BG20" s="62">
        <f>16+24</f>
        <v>40</v>
      </c>
      <c r="BH20" s="35"/>
      <c r="BI20" s="62">
        <f>62+67</f>
        <v>129</v>
      </c>
      <c r="BJ20" s="35"/>
      <c r="BK20" s="62">
        <f>59+43</f>
        <v>102</v>
      </c>
      <c r="BL20" s="35"/>
      <c r="BM20" s="62">
        <f>48+36</f>
        <v>84</v>
      </c>
      <c r="BN20" s="35"/>
      <c r="BO20" s="62">
        <f>23+28</f>
        <v>51</v>
      </c>
      <c r="BP20" s="35"/>
      <c r="BQ20" s="62">
        <f>59+75</f>
        <v>134</v>
      </c>
      <c r="BR20" s="35"/>
      <c r="BS20" s="62">
        <f>86+85</f>
        <v>171</v>
      </c>
      <c r="BT20" s="35"/>
      <c r="BU20" s="62">
        <f>120+121</f>
        <v>241</v>
      </c>
      <c r="BV20" s="35"/>
      <c r="BW20" s="62">
        <f>103+136</f>
        <v>239</v>
      </c>
      <c r="BX20" s="35"/>
      <c r="BY20" s="115">
        <f>331+349</f>
        <v>680</v>
      </c>
      <c r="BZ20" s="20"/>
      <c r="CA20" s="115"/>
      <c r="CB20" s="42"/>
      <c r="CC20" s="115"/>
      <c r="CD20" s="20"/>
      <c r="CE20" s="62"/>
      <c r="CF20" s="20"/>
      <c r="CG20" s="115">
        <f t="shared" si="0"/>
        <v>680</v>
      </c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</row>
    <row r="21" spans="1:120" x14ac:dyDescent="0.2">
      <c r="A21" s="61" t="s">
        <v>64</v>
      </c>
      <c r="C21" s="62">
        <f>152+180</f>
        <v>332</v>
      </c>
      <c r="D21" s="35"/>
      <c r="E21" s="62">
        <f>211+194</f>
        <v>405</v>
      </c>
      <c r="F21" s="35"/>
      <c r="G21" s="62">
        <f>6+3</f>
        <v>9</v>
      </c>
      <c r="H21" s="35"/>
      <c r="I21" s="62">
        <f>3+1</f>
        <v>4</v>
      </c>
      <c r="J21" s="35"/>
      <c r="K21" s="62">
        <v>3</v>
      </c>
      <c r="L21" s="35"/>
      <c r="M21" s="62">
        <f>2+2</f>
        <v>4</v>
      </c>
      <c r="N21" s="35"/>
      <c r="O21" s="62">
        <v>2</v>
      </c>
      <c r="P21" s="35"/>
      <c r="Q21" s="62">
        <v>0</v>
      </c>
      <c r="R21" s="35"/>
      <c r="S21" s="62">
        <f>137+150</f>
        <v>287</v>
      </c>
      <c r="T21" s="35"/>
      <c r="U21" s="62">
        <f>238+216</f>
        <v>454</v>
      </c>
      <c r="V21" s="35"/>
      <c r="W21" s="62">
        <f>3+2</f>
        <v>5</v>
      </c>
      <c r="X21" s="35"/>
      <c r="Y21" s="62">
        <f>1+2</f>
        <v>3</v>
      </c>
      <c r="Z21" s="35"/>
      <c r="AA21" s="62">
        <v>3</v>
      </c>
      <c r="AB21" s="35"/>
      <c r="AC21" s="62">
        <f>1+2</f>
        <v>3</v>
      </c>
      <c r="AD21" s="35"/>
      <c r="AE21" s="62">
        <f>167+174</f>
        <v>341</v>
      </c>
      <c r="AF21" s="35"/>
      <c r="AG21" s="62">
        <f>210+197</f>
        <v>407</v>
      </c>
      <c r="AH21" s="35"/>
      <c r="AI21" s="62"/>
      <c r="AJ21" s="35"/>
      <c r="AK21" s="62"/>
      <c r="AL21" s="35"/>
      <c r="AM21" s="62">
        <f>170+177</f>
        <v>347</v>
      </c>
      <c r="AN21" s="35"/>
      <c r="AO21" s="62">
        <f>158+168</f>
        <v>326</v>
      </c>
      <c r="AP21" s="35"/>
      <c r="AQ21" s="62">
        <f>191+177</f>
        <v>368</v>
      </c>
      <c r="AR21" s="35"/>
      <c r="AS21" s="62">
        <f>198+184</f>
        <v>382</v>
      </c>
      <c r="AT21" s="35"/>
      <c r="AU21" s="62">
        <f>7+6</f>
        <v>13</v>
      </c>
      <c r="AV21" s="35"/>
      <c r="AW21" s="62">
        <f>60+67</f>
        <v>127</v>
      </c>
      <c r="AX21" s="35"/>
      <c r="AY21" s="62">
        <f>75+96</f>
        <v>171</v>
      </c>
      <c r="AZ21" s="35"/>
      <c r="BA21" s="62">
        <f>48+48</f>
        <v>96</v>
      </c>
      <c r="BB21" s="35"/>
      <c r="BC21" s="62">
        <f>73+88</f>
        <v>161</v>
      </c>
      <c r="BD21" s="35"/>
      <c r="BE21" s="62">
        <f>103+102</f>
        <v>205</v>
      </c>
      <c r="BF21" s="35"/>
      <c r="BG21" s="62">
        <f>29+24</f>
        <v>53</v>
      </c>
      <c r="BH21" s="35"/>
      <c r="BI21" s="62">
        <f>70+92</f>
        <v>162</v>
      </c>
      <c r="BJ21" s="35"/>
      <c r="BK21" s="62">
        <f>54+57</f>
        <v>111</v>
      </c>
      <c r="BL21" s="35"/>
      <c r="BM21" s="62">
        <f>60+67</f>
        <v>127</v>
      </c>
      <c r="BN21" s="35"/>
      <c r="BO21" s="62">
        <f>52+50</f>
        <v>102</v>
      </c>
      <c r="BP21" s="35"/>
      <c r="BQ21" s="62">
        <f>78+108</f>
        <v>186</v>
      </c>
      <c r="BR21" s="35"/>
      <c r="BS21" s="62">
        <f>109+114</f>
        <v>223</v>
      </c>
      <c r="BT21" s="35"/>
      <c r="BU21" s="62">
        <f>172+146</f>
        <v>318</v>
      </c>
      <c r="BV21" s="35"/>
      <c r="BW21" s="62">
        <f>151+173</f>
        <v>324</v>
      </c>
      <c r="BX21" s="35"/>
      <c r="BY21" s="115">
        <f>387+388</f>
        <v>775</v>
      </c>
      <c r="CA21" s="115"/>
      <c r="CC21" s="115"/>
      <c r="CE21" s="62"/>
      <c r="CG21" s="115">
        <f t="shared" si="0"/>
        <v>775</v>
      </c>
      <c r="DO21" s="37"/>
      <c r="DP21" s="37"/>
    </row>
    <row r="22" spans="1:120" x14ac:dyDescent="0.2">
      <c r="A22" s="61" t="s">
        <v>65</v>
      </c>
      <c r="C22" s="62">
        <f>66+58</f>
        <v>124</v>
      </c>
      <c r="D22" s="35"/>
      <c r="E22" s="62">
        <f>124+134</f>
        <v>258</v>
      </c>
      <c r="F22" s="35"/>
      <c r="G22" s="62">
        <f>5+8</f>
        <v>13</v>
      </c>
      <c r="H22" s="35"/>
      <c r="I22" s="62">
        <f>2+2</f>
        <v>4</v>
      </c>
      <c r="J22" s="35"/>
      <c r="K22" s="62">
        <f>4+3</f>
        <v>7</v>
      </c>
      <c r="L22" s="35"/>
      <c r="M22" s="62">
        <v>1</v>
      </c>
      <c r="N22" s="35"/>
      <c r="O22" s="62">
        <v>0</v>
      </c>
      <c r="P22" s="35"/>
      <c r="Q22" s="62">
        <v>1</v>
      </c>
      <c r="R22" s="35"/>
      <c r="S22" s="62">
        <f>59+57</f>
        <v>116</v>
      </c>
      <c r="T22" s="35"/>
      <c r="U22" s="62">
        <f>131+138</f>
        <v>269</v>
      </c>
      <c r="V22" s="35"/>
      <c r="W22" s="62">
        <f>4+5</f>
        <v>9</v>
      </c>
      <c r="X22" s="35"/>
      <c r="Y22" s="62">
        <f>2+4</f>
        <v>6</v>
      </c>
      <c r="Z22" s="35"/>
      <c r="AA22" s="62">
        <f>1+2</f>
        <v>3</v>
      </c>
      <c r="AB22" s="35"/>
      <c r="AC22" s="62">
        <v>1</v>
      </c>
      <c r="AD22" s="35"/>
      <c r="AE22" s="62">
        <f>72+65</f>
        <v>137</v>
      </c>
      <c r="AF22" s="35"/>
      <c r="AG22" s="62">
        <f>127+136</f>
        <v>263</v>
      </c>
      <c r="AH22" s="35"/>
      <c r="AI22" s="62"/>
      <c r="AJ22" s="35"/>
      <c r="AK22" s="62"/>
      <c r="AL22" s="35"/>
      <c r="AM22" s="62">
        <f>71+72</f>
        <v>143</v>
      </c>
      <c r="AN22" s="35"/>
      <c r="AO22" s="62">
        <f>65+63</f>
        <v>128</v>
      </c>
      <c r="AP22" s="35"/>
      <c r="AQ22" s="62">
        <f>125+133</f>
        <v>258</v>
      </c>
      <c r="AR22" s="35"/>
      <c r="AS22" s="62">
        <f>115+129</f>
        <v>244</v>
      </c>
      <c r="AT22" s="35"/>
      <c r="AU22" s="62">
        <f>5+4</f>
        <v>9</v>
      </c>
      <c r="AV22" s="35"/>
      <c r="AW22" s="62">
        <f>35+37</f>
        <v>72</v>
      </c>
      <c r="AX22" s="35"/>
      <c r="AY22" s="62">
        <f>35+44</f>
        <v>79</v>
      </c>
      <c r="AZ22" s="35"/>
      <c r="BA22" s="62">
        <f>29+33</f>
        <v>62</v>
      </c>
      <c r="BB22" s="35"/>
      <c r="BC22" s="62">
        <f>32+35</f>
        <v>67</v>
      </c>
      <c r="BD22" s="35"/>
      <c r="BE22" s="62">
        <f>52+49</f>
        <v>101</v>
      </c>
      <c r="BF22" s="35"/>
      <c r="BG22" s="62">
        <f>13+9</f>
        <v>22</v>
      </c>
      <c r="BH22" s="35"/>
      <c r="BI22" s="62">
        <f>44+53</f>
        <v>97</v>
      </c>
      <c r="BJ22" s="35"/>
      <c r="BK22" s="62">
        <f>49+52</f>
        <v>101</v>
      </c>
      <c r="BL22" s="35"/>
      <c r="BM22" s="62">
        <f>44+41</f>
        <v>85</v>
      </c>
      <c r="BN22" s="35"/>
      <c r="BO22" s="62">
        <f>19+21</f>
        <v>40</v>
      </c>
      <c r="BP22" s="35"/>
      <c r="BQ22" s="62">
        <f>40+45</f>
        <v>85</v>
      </c>
      <c r="BR22" s="35"/>
      <c r="BS22" s="62">
        <f>72+83</f>
        <v>155</v>
      </c>
      <c r="BT22" s="35"/>
      <c r="BU22" s="62">
        <f>83+111</f>
        <v>194</v>
      </c>
      <c r="BV22" s="35"/>
      <c r="BW22" s="62">
        <f>58+60</f>
        <v>118</v>
      </c>
      <c r="BX22" s="35"/>
      <c r="BY22" s="115">
        <f>209+210</f>
        <v>419</v>
      </c>
      <c r="CA22" s="115"/>
      <c r="CC22" s="115"/>
      <c r="CE22" s="62"/>
      <c r="CG22" s="115">
        <f t="shared" si="0"/>
        <v>419</v>
      </c>
      <c r="DO22" s="37"/>
      <c r="DP22" s="37"/>
    </row>
    <row r="23" spans="1:120" x14ac:dyDescent="0.2">
      <c r="A23" s="61" t="s">
        <v>66</v>
      </c>
      <c r="C23" s="62">
        <f>43+37</f>
        <v>80</v>
      </c>
      <c r="D23" s="35"/>
      <c r="E23" s="62">
        <f>50+54</f>
        <v>104</v>
      </c>
      <c r="F23" s="35"/>
      <c r="G23" s="62">
        <f>2+3</f>
        <v>5</v>
      </c>
      <c r="H23" s="35"/>
      <c r="I23" s="62">
        <f>2+1</f>
        <v>3</v>
      </c>
      <c r="J23" s="35"/>
      <c r="K23" s="62">
        <v>1</v>
      </c>
      <c r="L23" s="35"/>
      <c r="M23" s="62">
        <v>2</v>
      </c>
      <c r="N23" s="35"/>
      <c r="O23" s="62">
        <v>0</v>
      </c>
      <c r="P23" s="35"/>
      <c r="Q23" s="62">
        <v>0</v>
      </c>
      <c r="R23" s="35"/>
      <c r="S23" s="62">
        <f>35+34</f>
        <v>69</v>
      </c>
      <c r="T23" s="35"/>
      <c r="U23" s="62">
        <f>57+59</f>
        <v>116</v>
      </c>
      <c r="V23" s="35"/>
      <c r="W23" s="62">
        <f>2+1</f>
        <v>3</v>
      </c>
      <c r="X23" s="35"/>
      <c r="Y23" s="62">
        <v>2</v>
      </c>
      <c r="Z23" s="35"/>
      <c r="AA23" s="62">
        <v>0</v>
      </c>
      <c r="AB23" s="35"/>
      <c r="AC23" s="62">
        <v>2</v>
      </c>
      <c r="AD23" s="35"/>
      <c r="AE23" s="62">
        <f>36+39</f>
        <v>75</v>
      </c>
      <c r="AF23" s="35"/>
      <c r="AG23" s="62">
        <f>56+53</f>
        <v>109</v>
      </c>
      <c r="AH23" s="35"/>
      <c r="AI23" s="62" t="s">
        <v>108</v>
      </c>
      <c r="AJ23" s="35"/>
      <c r="AK23" s="62" t="s">
        <v>108</v>
      </c>
      <c r="AL23" s="35"/>
      <c r="AM23" s="62">
        <f>37+38</f>
        <v>75</v>
      </c>
      <c r="AN23" s="35"/>
      <c r="AO23" s="62">
        <f>37+35</f>
        <v>72</v>
      </c>
      <c r="AP23" s="35"/>
      <c r="AQ23" s="62">
        <f>54+56</f>
        <v>110</v>
      </c>
      <c r="AR23" s="35"/>
      <c r="AS23" s="62">
        <f>52+52</f>
        <v>104</v>
      </c>
      <c r="AT23" s="35"/>
      <c r="AU23" s="62">
        <f>1+4</f>
        <v>5</v>
      </c>
      <c r="AV23" s="35"/>
      <c r="AW23" s="62">
        <f>23+19</f>
        <v>42</v>
      </c>
      <c r="AX23" s="35"/>
      <c r="AY23" s="62">
        <f>21+20</f>
        <v>41</v>
      </c>
      <c r="AZ23" s="35"/>
      <c r="BA23" s="62">
        <f>13+19</f>
        <v>32</v>
      </c>
      <c r="BB23" s="35"/>
      <c r="BC23" s="62">
        <f>17+19</f>
        <v>36</v>
      </c>
      <c r="BD23" s="35"/>
      <c r="BE23" s="62">
        <f>18+16</f>
        <v>34</v>
      </c>
      <c r="BF23" s="35"/>
      <c r="BG23" s="62">
        <f>8+9</f>
        <v>17</v>
      </c>
      <c r="BH23" s="35"/>
      <c r="BI23" s="62">
        <f>20+18</f>
        <v>38</v>
      </c>
      <c r="BJ23" s="35"/>
      <c r="BK23" s="62">
        <f>11+9</f>
        <v>20</v>
      </c>
      <c r="BL23" s="35"/>
      <c r="BM23" s="62">
        <f>10+15</f>
        <v>25</v>
      </c>
      <c r="BN23" s="35"/>
      <c r="BO23" s="62">
        <f>15+10</f>
        <v>25</v>
      </c>
      <c r="BP23" s="35"/>
      <c r="BQ23" s="62">
        <f>24+23</f>
        <v>47</v>
      </c>
      <c r="BR23" s="35"/>
      <c r="BS23" s="62">
        <f>21+22</f>
        <v>43</v>
      </c>
      <c r="BT23" s="35"/>
      <c r="BU23" s="62">
        <f>34+29</f>
        <v>63</v>
      </c>
      <c r="BV23" s="35"/>
      <c r="BW23" s="62">
        <f>30+30</f>
        <v>60</v>
      </c>
      <c r="BX23" s="35"/>
      <c r="BY23" s="115">
        <f>98+102</f>
        <v>200</v>
      </c>
      <c r="CA23" s="115"/>
      <c r="CC23" s="115"/>
      <c r="CE23" s="62"/>
      <c r="CG23" s="115">
        <f t="shared" si="0"/>
        <v>200</v>
      </c>
      <c r="DO23" s="37"/>
      <c r="DP23" s="37"/>
    </row>
    <row r="24" spans="1:120" x14ac:dyDescent="0.2">
      <c r="A24" s="61" t="s">
        <v>67</v>
      </c>
      <c r="C24" s="62">
        <f>23+24</f>
        <v>47</v>
      </c>
      <c r="D24" s="35"/>
      <c r="E24" s="62">
        <f>93+88</f>
        <v>181</v>
      </c>
      <c r="F24" s="35"/>
      <c r="G24" s="62">
        <f>3+3</f>
        <v>6</v>
      </c>
      <c r="H24" s="35"/>
      <c r="I24" s="62">
        <v>1</v>
      </c>
      <c r="J24" s="35"/>
      <c r="K24" s="62">
        <v>1</v>
      </c>
      <c r="L24" s="35"/>
      <c r="M24" s="62">
        <v>0</v>
      </c>
      <c r="N24" s="35"/>
      <c r="O24" s="62">
        <f>2+1</f>
        <v>3</v>
      </c>
      <c r="P24" s="35"/>
      <c r="Q24" s="62">
        <v>0</v>
      </c>
      <c r="R24" s="35"/>
      <c r="S24" s="62">
        <f>24+21</f>
        <v>45</v>
      </c>
      <c r="T24" s="35"/>
      <c r="U24" s="62">
        <f>96+91</f>
        <v>187</v>
      </c>
      <c r="V24" s="35"/>
      <c r="W24" s="62">
        <v>0</v>
      </c>
      <c r="X24" s="35"/>
      <c r="Y24" s="62">
        <v>0</v>
      </c>
      <c r="Z24" s="35"/>
      <c r="AA24" s="62">
        <v>1</v>
      </c>
      <c r="AB24" s="35"/>
      <c r="AC24" s="62">
        <v>2</v>
      </c>
      <c r="AD24" s="35"/>
      <c r="AE24" s="62">
        <f>23+23</f>
        <v>46</v>
      </c>
      <c r="AF24" s="35"/>
      <c r="AG24" s="62">
        <f>95+86</f>
        <v>181</v>
      </c>
      <c r="AH24" s="35"/>
      <c r="AI24" s="62" t="s">
        <v>108</v>
      </c>
      <c r="AJ24" s="35"/>
      <c r="AK24" s="62" t="s">
        <v>108</v>
      </c>
      <c r="AL24" s="35"/>
      <c r="AM24" s="62">
        <f>24+23</f>
        <v>47</v>
      </c>
      <c r="AN24" s="35"/>
      <c r="AO24" s="62">
        <f>28+21</f>
        <v>49</v>
      </c>
      <c r="AP24" s="35"/>
      <c r="AQ24" s="62">
        <f>91+83</f>
        <v>174</v>
      </c>
      <c r="AR24" s="35"/>
      <c r="AS24" s="62">
        <f>81+86</f>
        <v>167</v>
      </c>
      <c r="AT24" s="35"/>
      <c r="AU24" s="62">
        <v>1</v>
      </c>
      <c r="AV24" s="35"/>
      <c r="AW24" s="62">
        <f>38+27</f>
        <v>65</v>
      </c>
      <c r="AX24" s="35"/>
      <c r="AY24" s="62">
        <f>21+15</f>
        <v>36</v>
      </c>
      <c r="AZ24" s="35"/>
      <c r="BA24" s="62">
        <f>17+10</f>
        <v>27</v>
      </c>
      <c r="BB24" s="35"/>
      <c r="BC24" s="62">
        <f>11+10</f>
        <v>21</v>
      </c>
      <c r="BD24" s="35"/>
      <c r="BE24" s="62">
        <f>15+24</f>
        <v>39</v>
      </c>
      <c r="BF24" s="35"/>
      <c r="BG24" s="62">
        <f>2+9</f>
        <v>11</v>
      </c>
      <c r="BH24" s="35"/>
      <c r="BI24" s="62">
        <f>20+26</f>
        <v>46</v>
      </c>
      <c r="BJ24" s="35"/>
      <c r="BK24" s="62">
        <f>27+18</f>
        <v>45</v>
      </c>
      <c r="BL24" s="35"/>
      <c r="BM24" s="62">
        <f>26+18</f>
        <v>44</v>
      </c>
      <c r="BN24" s="35"/>
      <c r="BO24" s="62">
        <f>7+8</f>
        <v>15</v>
      </c>
      <c r="BP24" s="35"/>
      <c r="BQ24" s="62">
        <f>23+23</f>
        <v>46</v>
      </c>
      <c r="BR24" s="35"/>
      <c r="BS24" s="62">
        <f>34+32</f>
        <v>66</v>
      </c>
      <c r="BT24" s="35"/>
      <c r="BU24" s="62">
        <f>64+59</f>
        <v>123</v>
      </c>
      <c r="BV24" s="35"/>
      <c r="BW24" s="62">
        <f>24+26</f>
        <v>50</v>
      </c>
      <c r="BX24" s="35"/>
      <c r="BY24" s="115">
        <f>124+119</f>
        <v>243</v>
      </c>
      <c r="CA24" s="115"/>
      <c r="CC24" s="115"/>
      <c r="CE24" s="62"/>
      <c r="CG24" s="115">
        <f t="shared" si="0"/>
        <v>243</v>
      </c>
      <c r="DO24" s="37"/>
      <c r="DP24" s="37"/>
    </row>
    <row r="25" spans="1:120" x14ac:dyDescent="0.2">
      <c r="A25" s="61" t="s">
        <v>68</v>
      </c>
      <c r="C25" s="62">
        <f>87+83</f>
        <v>170</v>
      </c>
      <c r="D25" s="35"/>
      <c r="E25" s="62">
        <f>142+144</f>
        <v>286</v>
      </c>
      <c r="F25" s="35"/>
      <c r="G25" s="62">
        <f>5+5</f>
        <v>10</v>
      </c>
      <c r="H25" s="35"/>
      <c r="I25" s="62">
        <v>1</v>
      </c>
      <c r="J25" s="35"/>
      <c r="K25" s="62">
        <v>1</v>
      </c>
      <c r="L25" s="35"/>
      <c r="M25" s="62">
        <f>6+3</f>
        <v>9</v>
      </c>
      <c r="N25" s="35"/>
      <c r="O25" s="62">
        <v>2</v>
      </c>
      <c r="P25" s="35"/>
      <c r="Q25" s="62">
        <v>0</v>
      </c>
      <c r="R25" s="35"/>
      <c r="S25" s="62">
        <f>74+69</f>
        <v>143</v>
      </c>
      <c r="T25" s="35"/>
      <c r="U25" s="62">
        <f>160+162</f>
        <v>322</v>
      </c>
      <c r="V25" s="35"/>
      <c r="W25" s="62">
        <v>3</v>
      </c>
      <c r="X25" s="35"/>
      <c r="Y25" s="62">
        <v>2</v>
      </c>
      <c r="Z25" s="35"/>
      <c r="AA25" s="62">
        <v>1</v>
      </c>
      <c r="AB25" s="35"/>
      <c r="AC25" s="62">
        <f>2+5</f>
        <v>7</v>
      </c>
      <c r="AD25" s="35"/>
      <c r="AE25" s="62">
        <f>89+81</f>
        <v>170</v>
      </c>
      <c r="AF25" s="35"/>
      <c r="AG25" s="62">
        <f>146+156</f>
        <v>302</v>
      </c>
      <c r="AH25" s="35"/>
      <c r="AI25" s="62"/>
      <c r="AJ25" s="35"/>
      <c r="AK25" s="62"/>
      <c r="AL25" s="35"/>
      <c r="AM25" s="62">
        <f>91+84</f>
        <v>175</v>
      </c>
      <c r="AN25" s="35"/>
      <c r="AO25" s="62">
        <f>81+69</f>
        <v>150</v>
      </c>
      <c r="AP25" s="35"/>
      <c r="AQ25" s="62">
        <f>138+149</f>
        <v>287</v>
      </c>
      <c r="AR25" s="35"/>
      <c r="AS25" s="62">
        <f>134+137</f>
        <v>271</v>
      </c>
      <c r="AT25" s="35"/>
      <c r="AU25" s="62">
        <f>6+7</f>
        <v>13</v>
      </c>
      <c r="AV25" s="35"/>
      <c r="AW25" s="62">
        <f>48+42</f>
        <v>90</v>
      </c>
      <c r="AX25" s="35"/>
      <c r="AY25" s="62">
        <f>45+40</f>
        <v>85</v>
      </c>
      <c r="AZ25" s="35"/>
      <c r="BA25" s="62">
        <f>36+28</f>
        <v>64</v>
      </c>
      <c r="BB25" s="35"/>
      <c r="BC25" s="62">
        <f>49+42</f>
        <v>91</v>
      </c>
      <c r="BD25" s="35"/>
      <c r="BE25" s="62">
        <f>51+35</f>
        <v>86</v>
      </c>
      <c r="BF25" s="35"/>
      <c r="BG25" s="62">
        <f>6+8</f>
        <v>14</v>
      </c>
      <c r="BH25" s="35"/>
      <c r="BI25" s="62">
        <f>45+32</f>
        <v>77</v>
      </c>
      <c r="BJ25" s="35"/>
      <c r="BK25" s="62">
        <f>35+44</f>
        <v>79</v>
      </c>
      <c r="BL25" s="35"/>
      <c r="BM25" s="62">
        <f>22+33</f>
        <v>55</v>
      </c>
      <c r="BN25" s="35"/>
      <c r="BO25" s="62">
        <f>17+19</f>
        <v>36</v>
      </c>
      <c r="BP25" s="35"/>
      <c r="BQ25" s="62">
        <f>33+44</f>
        <v>77</v>
      </c>
      <c r="BR25" s="35"/>
      <c r="BS25" s="62">
        <f>55+48</f>
        <v>103</v>
      </c>
      <c r="BT25" s="35"/>
      <c r="BU25" s="62">
        <f>80+95</f>
        <v>175</v>
      </c>
      <c r="BV25" s="35"/>
      <c r="BW25" s="62">
        <f>63+63</f>
        <v>126</v>
      </c>
      <c r="BX25" s="35"/>
      <c r="BY25" s="115">
        <f>248+248</f>
        <v>496</v>
      </c>
      <c r="CA25" s="115"/>
      <c r="CC25" s="115"/>
      <c r="CE25" s="62"/>
      <c r="CG25" s="115">
        <f t="shared" si="0"/>
        <v>496</v>
      </c>
      <c r="DO25" s="37"/>
      <c r="DP25" s="37"/>
    </row>
    <row r="26" spans="1:120" x14ac:dyDescent="0.2">
      <c r="A26" s="61" t="s">
        <v>69</v>
      </c>
      <c r="C26" s="62">
        <f>91+94</f>
        <v>185</v>
      </c>
      <c r="D26" s="35"/>
      <c r="E26" s="62">
        <f>145+148</f>
        <v>293</v>
      </c>
      <c r="F26" s="35"/>
      <c r="G26" s="62">
        <f>9+3</f>
        <v>12</v>
      </c>
      <c r="H26" s="35"/>
      <c r="I26" s="62">
        <v>2</v>
      </c>
      <c r="J26" s="35"/>
      <c r="K26" s="62">
        <f>5+4</f>
        <v>9</v>
      </c>
      <c r="L26" s="35"/>
      <c r="M26" s="62">
        <f>2+1</f>
        <v>3</v>
      </c>
      <c r="N26" s="35"/>
      <c r="O26" s="62">
        <v>1</v>
      </c>
      <c r="P26" s="35"/>
      <c r="Q26" s="62">
        <v>1</v>
      </c>
      <c r="R26" s="35"/>
      <c r="S26" s="62">
        <f>85+77</f>
        <v>162</v>
      </c>
      <c r="T26" s="35"/>
      <c r="U26" s="62">
        <f>156+155</f>
        <v>311</v>
      </c>
      <c r="V26" s="35"/>
      <c r="W26" s="62">
        <f>3+2</f>
        <v>5</v>
      </c>
      <c r="X26" s="35"/>
      <c r="Y26" s="62">
        <f>2+2</f>
        <v>4</v>
      </c>
      <c r="Z26" s="35"/>
      <c r="AA26" s="62">
        <f>2+4</f>
        <v>6</v>
      </c>
      <c r="AB26" s="35"/>
      <c r="AC26" s="62">
        <f>2+3</f>
        <v>5</v>
      </c>
      <c r="AD26" s="35"/>
      <c r="AE26" s="62">
        <f>100+91</f>
        <v>191</v>
      </c>
      <c r="AF26" s="35"/>
      <c r="AG26" s="62">
        <f>147+151</f>
        <v>298</v>
      </c>
      <c r="AH26" s="35"/>
      <c r="AI26" s="62"/>
      <c r="AJ26" s="35"/>
      <c r="AK26" s="62"/>
      <c r="AL26" s="35"/>
      <c r="AM26" s="62">
        <f>100+89</f>
        <v>189</v>
      </c>
      <c r="AN26" s="35"/>
      <c r="AO26" s="62">
        <f>86+82</f>
        <v>168</v>
      </c>
      <c r="AP26" s="35"/>
      <c r="AQ26" s="62">
        <f>144+142</f>
        <v>286</v>
      </c>
      <c r="AR26" s="35"/>
      <c r="AS26" s="62">
        <f>139+147</f>
        <v>286</v>
      </c>
      <c r="AT26" s="35"/>
      <c r="AU26" s="62">
        <f>5+6</f>
        <v>11</v>
      </c>
      <c r="AV26" s="35"/>
      <c r="AW26" s="62">
        <f>57+46</f>
        <v>103</v>
      </c>
      <c r="AX26" s="35"/>
      <c r="AY26" s="62">
        <f>43+46</f>
        <v>89</v>
      </c>
      <c r="AZ26" s="35"/>
      <c r="BA26" s="62">
        <f>34+30</f>
        <v>64</v>
      </c>
      <c r="BB26" s="35"/>
      <c r="BC26" s="62">
        <f>56+44</f>
        <v>100</v>
      </c>
      <c r="BD26" s="35"/>
      <c r="BE26" s="62">
        <f>56+60</f>
        <v>116</v>
      </c>
      <c r="BF26" s="35"/>
      <c r="BG26" s="62">
        <f>13+10</f>
        <v>23</v>
      </c>
      <c r="BH26" s="35"/>
      <c r="BI26" s="62">
        <f>47+48</f>
        <v>95</v>
      </c>
      <c r="BJ26" s="35"/>
      <c r="BK26" s="62">
        <f>42+51</f>
        <v>93</v>
      </c>
      <c r="BL26" s="35"/>
      <c r="BM26" s="62">
        <f>28+32</f>
        <v>60</v>
      </c>
      <c r="BN26" s="35"/>
      <c r="BO26" s="62">
        <f>22+21</f>
        <v>43</v>
      </c>
      <c r="BP26" s="35"/>
      <c r="BQ26" s="62">
        <f>54+43</f>
        <v>97</v>
      </c>
      <c r="BR26" s="35"/>
      <c r="BS26" s="62">
        <f>64+66</f>
        <v>130</v>
      </c>
      <c r="BT26" s="35"/>
      <c r="BU26" s="62">
        <f>85+88</f>
        <v>173</v>
      </c>
      <c r="BV26" s="35"/>
      <c r="BW26" s="62">
        <f>86+65</f>
        <v>151</v>
      </c>
      <c r="BX26" s="35"/>
      <c r="BY26" s="115">
        <f>261+257</f>
        <v>518</v>
      </c>
      <c r="CA26" s="115"/>
      <c r="CC26" s="115"/>
      <c r="CE26" s="62"/>
      <c r="CG26" s="115">
        <f t="shared" si="0"/>
        <v>518</v>
      </c>
      <c r="DO26" s="37"/>
      <c r="DP26" s="37"/>
    </row>
    <row r="27" spans="1:120" x14ac:dyDescent="0.2">
      <c r="A27" s="61" t="s">
        <v>72</v>
      </c>
      <c r="C27" s="62">
        <f>240+284</f>
        <v>524</v>
      </c>
      <c r="D27" s="35"/>
      <c r="E27" s="62">
        <f>199+183</f>
        <v>382</v>
      </c>
      <c r="F27" s="35"/>
      <c r="G27" s="62">
        <f>8+16</f>
        <v>24</v>
      </c>
      <c r="H27" s="35"/>
      <c r="I27" s="62">
        <f>2+2</f>
        <v>4</v>
      </c>
      <c r="J27" s="35"/>
      <c r="K27" s="62">
        <f>3+3</f>
        <v>6</v>
      </c>
      <c r="L27" s="35"/>
      <c r="M27" s="62">
        <f>3+1</f>
        <v>4</v>
      </c>
      <c r="N27" s="35"/>
      <c r="O27" s="62">
        <v>1</v>
      </c>
      <c r="P27" s="35"/>
      <c r="Q27" s="62">
        <v>1</v>
      </c>
      <c r="R27" s="35"/>
      <c r="S27" s="62">
        <f>204+230</f>
        <v>434</v>
      </c>
      <c r="T27" s="35"/>
      <c r="U27" s="62">
        <f>247+247</f>
        <v>494</v>
      </c>
      <c r="V27" s="35"/>
      <c r="W27" s="62">
        <f>3+3</f>
        <v>6</v>
      </c>
      <c r="X27" s="35"/>
      <c r="Y27" s="62">
        <f>2+1</f>
        <v>3</v>
      </c>
      <c r="Z27" s="35"/>
      <c r="AA27" s="62">
        <f>1+3</f>
        <v>4</v>
      </c>
      <c r="AB27" s="35"/>
      <c r="AC27" s="62">
        <f>2+2</f>
        <v>4</v>
      </c>
      <c r="AD27" s="35"/>
      <c r="AE27" s="62">
        <f>245+280</f>
        <v>525</v>
      </c>
      <c r="AF27" s="35"/>
      <c r="AG27" s="62">
        <f>197+193</f>
        <v>390</v>
      </c>
      <c r="AH27" s="35"/>
      <c r="AI27" s="62"/>
      <c r="AJ27" s="35"/>
      <c r="AK27" s="62"/>
      <c r="AL27" s="35"/>
      <c r="AM27" s="62">
        <f>253+289</f>
        <v>542</v>
      </c>
      <c r="AN27" s="35"/>
      <c r="AO27" s="62">
        <f>250+268</f>
        <v>518</v>
      </c>
      <c r="AP27" s="35"/>
      <c r="AQ27" s="62">
        <f>184+181</f>
        <v>365</v>
      </c>
      <c r="AR27" s="35"/>
      <c r="AS27" s="62">
        <f>178+189</f>
        <v>367</v>
      </c>
      <c r="AT27" s="35"/>
      <c r="AU27" s="62">
        <f>8+9</f>
        <v>17</v>
      </c>
      <c r="AV27" s="35"/>
      <c r="AW27" s="62">
        <f>110+99</f>
        <v>209</v>
      </c>
      <c r="AX27" s="35"/>
      <c r="AY27" s="62">
        <f>96+98</f>
        <v>194</v>
      </c>
      <c r="AZ27" s="35"/>
      <c r="BA27" s="62">
        <f>67+51</f>
        <v>118</v>
      </c>
      <c r="BB27" s="35"/>
      <c r="BC27" s="62">
        <f>82+98</f>
        <v>180</v>
      </c>
      <c r="BD27" s="35"/>
      <c r="BE27" s="62">
        <f>131+148</f>
        <v>279</v>
      </c>
      <c r="BF27" s="35"/>
      <c r="BG27" s="62">
        <f>26+42</f>
        <v>68</v>
      </c>
      <c r="BH27" s="35"/>
      <c r="BI27" s="62">
        <f>155+167</f>
        <v>322</v>
      </c>
      <c r="BJ27" s="35"/>
      <c r="BK27" s="62">
        <f>44+45</f>
        <v>89</v>
      </c>
      <c r="BL27" s="35"/>
      <c r="BM27" s="62">
        <f>41+55</f>
        <v>96</v>
      </c>
      <c r="BN27" s="35"/>
      <c r="BO27" s="62">
        <f>92+102</f>
        <v>194</v>
      </c>
      <c r="BP27" s="35"/>
      <c r="BQ27" s="62">
        <f>114+143</f>
        <v>257</v>
      </c>
      <c r="BR27" s="35"/>
      <c r="BS27" s="62">
        <f>113+113</f>
        <v>226</v>
      </c>
      <c r="BT27" s="35"/>
      <c r="BU27" s="62">
        <f>164+147</f>
        <v>311</v>
      </c>
      <c r="BV27" s="35"/>
      <c r="BW27" s="62">
        <f>225+285</f>
        <v>510</v>
      </c>
      <c r="BX27" s="35"/>
      <c r="BY27" s="115">
        <f>468+499</f>
        <v>967</v>
      </c>
      <c r="CA27" s="115"/>
      <c r="CC27" s="115"/>
      <c r="CE27" s="62"/>
      <c r="CG27" s="115">
        <f t="shared" si="0"/>
        <v>967</v>
      </c>
      <c r="DO27" s="37"/>
      <c r="DP27" s="37"/>
    </row>
    <row r="28" spans="1:120" x14ac:dyDescent="0.2">
      <c r="A28" s="61" t="s">
        <v>74</v>
      </c>
      <c r="C28" s="62">
        <f>235+237</f>
        <v>472</v>
      </c>
      <c r="D28" s="35"/>
      <c r="E28" s="62">
        <f>117+100</f>
        <v>217</v>
      </c>
      <c r="F28" s="35"/>
      <c r="G28" s="62">
        <f>6+1</f>
        <v>7</v>
      </c>
      <c r="H28" s="35"/>
      <c r="I28" s="62">
        <f>4+1</f>
        <v>5</v>
      </c>
      <c r="J28" s="35"/>
      <c r="K28" s="62">
        <f>3+2</f>
        <v>5</v>
      </c>
      <c r="L28" s="35"/>
      <c r="M28" s="62">
        <v>2</v>
      </c>
      <c r="N28" s="35"/>
      <c r="O28" s="62">
        <f>1+1</f>
        <v>2</v>
      </c>
      <c r="P28" s="35"/>
      <c r="Q28" s="62">
        <v>0</v>
      </c>
      <c r="R28" s="35"/>
      <c r="S28" s="62">
        <f>209+206</f>
        <v>415</v>
      </c>
      <c r="T28" s="35"/>
      <c r="U28" s="62">
        <f>157+133</f>
        <v>290</v>
      </c>
      <c r="V28" s="35"/>
      <c r="W28" s="62">
        <v>1</v>
      </c>
      <c r="X28" s="35"/>
      <c r="Y28" s="62">
        <f>1+2</f>
        <v>3</v>
      </c>
      <c r="Z28" s="35"/>
      <c r="AA28" s="62">
        <f>2+4</f>
        <v>6</v>
      </c>
      <c r="AB28" s="35"/>
      <c r="AC28" s="62">
        <v>1</v>
      </c>
      <c r="AD28" s="35"/>
      <c r="AE28" s="62">
        <f>245+241</f>
        <v>486</v>
      </c>
      <c r="AF28" s="35"/>
      <c r="AG28" s="62">
        <f>113+99</f>
        <v>212</v>
      </c>
      <c r="AH28" s="35"/>
      <c r="AI28" s="62"/>
      <c r="AJ28" s="35"/>
      <c r="AK28" s="62"/>
      <c r="AL28" s="35"/>
      <c r="AM28" s="62">
        <f>255+249</f>
        <v>504</v>
      </c>
      <c r="AN28" s="35"/>
      <c r="AO28" s="62">
        <f>243+234</f>
        <v>477</v>
      </c>
      <c r="AP28" s="35"/>
      <c r="AQ28" s="62">
        <f>106+87</f>
        <v>193</v>
      </c>
      <c r="AR28" s="35"/>
      <c r="AS28" s="62">
        <f>106+86</f>
        <v>192</v>
      </c>
      <c r="AT28" s="35"/>
      <c r="AU28" s="62">
        <f>5+7</f>
        <v>12</v>
      </c>
      <c r="AV28" s="35"/>
      <c r="AW28" s="62">
        <f>54+42</f>
        <v>96</v>
      </c>
      <c r="AX28" s="35"/>
      <c r="AY28" s="62">
        <f>104+93</f>
        <v>197</v>
      </c>
      <c r="AZ28" s="35"/>
      <c r="BA28" s="62">
        <f>49+45</f>
        <v>94</v>
      </c>
      <c r="BB28" s="35"/>
      <c r="BC28" s="62">
        <f>121+87</f>
        <v>208</v>
      </c>
      <c r="BD28" s="35"/>
      <c r="BE28" s="62">
        <f>132+112</f>
        <v>244</v>
      </c>
      <c r="BF28" s="35"/>
      <c r="BG28" s="62">
        <f>29+29</f>
        <v>58</v>
      </c>
      <c r="BH28" s="35"/>
      <c r="BI28" s="62">
        <f>118+112</f>
        <v>230</v>
      </c>
      <c r="BJ28" s="35"/>
      <c r="BK28" s="62">
        <f>30+39</f>
        <v>69</v>
      </c>
      <c r="BL28" s="35"/>
      <c r="BM28" s="62">
        <f>21+25</f>
        <v>46</v>
      </c>
      <c r="BN28" s="35"/>
      <c r="BO28" s="62">
        <f>68+57</f>
        <v>125</v>
      </c>
      <c r="BP28" s="35"/>
      <c r="BQ28" s="62">
        <f>123+99</f>
        <v>222</v>
      </c>
      <c r="BR28" s="35"/>
      <c r="BS28" s="62">
        <f>83+80</f>
        <v>163</v>
      </c>
      <c r="BT28" s="35"/>
      <c r="BU28" s="62">
        <f>95+95</f>
        <v>190</v>
      </c>
      <c r="BV28" s="35"/>
      <c r="BW28" s="62">
        <f>236+222</f>
        <v>458</v>
      </c>
      <c r="BX28" s="35"/>
      <c r="BY28" s="115">
        <f>374+351</f>
        <v>725</v>
      </c>
      <c r="CA28" s="115"/>
      <c r="CC28" s="115"/>
      <c r="CE28" s="62"/>
      <c r="CG28" s="115">
        <f>+SUM(BY28:CE28)</f>
        <v>725</v>
      </c>
      <c r="DO28" s="37"/>
      <c r="DP28" s="37"/>
    </row>
    <row r="29" spans="1:120" x14ac:dyDescent="0.2">
      <c r="A29" s="61" t="s">
        <v>75</v>
      </c>
      <c r="C29" s="62">
        <f>226+232</f>
        <v>458</v>
      </c>
      <c r="D29" s="35"/>
      <c r="E29" s="62">
        <f>188+216</f>
        <v>404</v>
      </c>
      <c r="F29" s="35"/>
      <c r="G29" s="62">
        <f>6+5</f>
        <v>11</v>
      </c>
      <c r="H29" s="35"/>
      <c r="I29" s="62">
        <v>0</v>
      </c>
      <c r="J29" s="35"/>
      <c r="K29" s="62">
        <f>4+2</f>
        <v>6</v>
      </c>
      <c r="L29" s="35"/>
      <c r="M29" s="62">
        <f>3+2</f>
        <v>5</v>
      </c>
      <c r="N29" s="35"/>
      <c r="O29" s="62">
        <v>3</v>
      </c>
      <c r="P29" s="35"/>
      <c r="Q29" s="62">
        <v>0</v>
      </c>
      <c r="R29" s="35"/>
      <c r="S29" s="62">
        <f>201+208</f>
        <v>409</v>
      </c>
      <c r="T29" s="35"/>
      <c r="U29" s="62">
        <f>218+240</f>
        <v>458</v>
      </c>
      <c r="V29" s="35"/>
      <c r="W29" s="62">
        <f>1+1</f>
        <v>2</v>
      </c>
      <c r="X29" s="35"/>
      <c r="Y29" s="62">
        <v>0</v>
      </c>
      <c r="Z29" s="35"/>
      <c r="AA29" s="62">
        <f>2+3</f>
        <v>5</v>
      </c>
      <c r="AB29" s="35"/>
      <c r="AC29" s="62">
        <v>3</v>
      </c>
      <c r="AD29" s="35"/>
      <c r="AE29" s="62">
        <f>236+230</f>
        <v>466</v>
      </c>
      <c r="AF29" s="35"/>
      <c r="AG29" s="62">
        <f>187+217</f>
        <v>404</v>
      </c>
      <c r="AH29" s="35"/>
      <c r="AI29" s="62"/>
      <c r="AJ29" s="35"/>
      <c r="AK29" s="62"/>
      <c r="AL29" s="35"/>
      <c r="AM29" s="62">
        <f>245+239</f>
        <v>484</v>
      </c>
      <c r="AN29" s="35"/>
      <c r="AO29" s="62">
        <f>224+217</f>
        <v>441</v>
      </c>
      <c r="AP29" s="35"/>
      <c r="AQ29" s="62">
        <f>172+206</f>
        <v>378</v>
      </c>
      <c r="AR29" s="35"/>
      <c r="AS29" s="62">
        <f>182+219</f>
        <v>401</v>
      </c>
      <c r="AT29" s="35"/>
      <c r="AU29" s="62">
        <f>7+4</f>
        <v>11</v>
      </c>
      <c r="AV29" s="35"/>
      <c r="AW29" s="62">
        <f>56+62</f>
        <v>118</v>
      </c>
      <c r="AX29" s="35"/>
      <c r="AY29" s="62">
        <f>93+86</f>
        <v>179</v>
      </c>
      <c r="AZ29" s="35"/>
      <c r="BA29" s="62">
        <f>57+45</f>
        <v>102</v>
      </c>
      <c r="BB29" s="35"/>
      <c r="BC29" s="62">
        <f>114+98</f>
        <v>212</v>
      </c>
      <c r="BD29" s="35"/>
      <c r="BE29" s="62">
        <f>126+121</f>
        <v>247</v>
      </c>
      <c r="BF29" s="35"/>
      <c r="BG29" s="62">
        <f>42+46</f>
        <v>88</v>
      </c>
      <c r="BH29" s="35"/>
      <c r="BI29" s="62">
        <f>121+138</f>
        <v>259</v>
      </c>
      <c r="BJ29" s="35"/>
      <c r="BK29" s="62">
        <f>47+46</f>
        <v>93</v>
      </c>
      <c r="BL29" s="35"/>
      <c r="BM29" s="62">
        <f>49+47</f>
        <v>96</v>
      </c>
      <c r="BN29" s="35"/>
      <c r="BO29" s="62">
        <f>73+57</f>
        <v>130</v>
      </c>
      <c r="BP29" s="35"/>
      <c r="BQ29" s="62">
        <f>106+97</f>
        <v>203</v>
      </c>
      <c r="BR29" s="35"/>
      <c r="BS29" s="62">
        <f>113+111</f>
        <v>224</v>
      </c>
      <c r="BT29" s="35"/>
      <c r="BU29" s="62">
        <f>138+152</f>
        <v>290</v>
      </c>
      <c r="BV29" s="35"/>
      <c r="BW29" s="62">
        <f>249+258</f>
        <v>507</v>
      </c>
      <c r="BX29" s="35"/>
      <c r="BY29" s="115">
        <f>435+467</f>
        <v>902</v>
      </c>
      <c r="CA29" s="115"/>
      <c r="CC29" s="115"/>
      <c r="CE29" s="62"/>
      <c r="CG29" s="115">
        <f>+SUM(BY29:CE29)</f>
        <v>902</v>
      </c>
      <c r="DO29" s="37"/>
      <c r="DP29" s="37"/>
    </row>
    <row r="30" spans="1:120" x14ac:dyDescent="0.2">
      <c r="A30" s="61" t="s">
        <v>76</v>
      </c>
      <c r="C30" s="62">
        <f>128+129</f>
        <v>257</v>
      </c>
      <c r="D30" s="35"/>
      <c r="E30" s="62">
        <f>180+173</f>
        <v>353</v>
      </c>
      <c r="F30" s="35"/>
      <c r="G30" s="62">
        <f>4+7</f>
        <v>11</v>
      </c>
      <c r="H30" s="35"/>
      <c r="I30" s="62">
        <v>4</v>
      </c>
      <c r="J30" s="35"/>
      <c r="K30" s="62">
        <f>3+3</f>
        <v>6</v>
      </c>
      <c r="L30" s="35"/>
      <c r="M30" s="62">
        <f>2+1</f>
        <v>3</v>
      </c>
      <c r="N30" s="35"/>
      <c r="O30" s="62">
        <v>1</v>
      </c>
      <c r="P30" s="35"/>
      <c r="Q30" s="62">
        <v>2</v>
      </c>
      <c r="R30" s="35"/>
      <c r="S30" s="62">
        <f>108+102</f>
        <v>210</v>
      </c>
      <c r="T30" s="35"/>
      <c r="U30" s="62">
        <f>208+207</f>
        <v>415</v>
      </c>
      <c r="V30" s="35"/>
      <c r="W30" s="62">
        <v>0</v>
      </c>
      <c r="X30" s="35"/>
      <c r="Y30" s="62">
        <f>3+1</f>
        <v>4</v>
      </c>
      <c r="Z30" s="35"/>
      <c r="AA30" s="62">
        <v>2</v>
      </c>
      <c r="AB30" s="35"/>
      <c r="AC30" s="62">
        <v>0</v>
      </c>
      <c r="AD30" s="35"/>
      <c r="AE30" s="62">
        <f>129+124</f>
        <v>253</v>
      </c>
      <c r="AF30" s="35"/>
      <c r="AG30" s="62">
        <f>187+183</f>
        <v>370</v>
      </c>
      <c r="AH30" s="35"/>
      <c r="AI30" s="62"/>
      <c r="AJ30" s="35"/>
      <c r="AK30" s="62"/>
      <c r="AL30" s="35"/>
      <c r="AM30" s="62">
        <f>140+132</f>
        <v>272</v>
      </c>
      <c r="AN30" s="35"/>
      <c r="AO30" s="62">
        <f>128+119</f>
        <v>247</v>
      </c>
      <c r="AP30" s="35"/>
      <c r="AQ30" s="62">
        <f>173+180</f>
        <v>353</v>
      </c>
      <c r="AR30" s="35"/>
      <c r="AS30" s="62">
        <f>171+172</f>
        <v>343</v>
      </c>
      <c r="AT30" s="35"/>
      <c r="AU30" s="62">
        <f>12+3</f>
        <v>15</v>
      </c>
      <c r="AV30" s="35"/>
      <c r="AW30" s="62">
        <f>67+74</f>
        <v>141</v>
      </c>
      <c r="AX30" s="35"/>
      <c r="AY30" s="62">
        <f>72+65</f>
        <v>137</v>
      </c>
      <c r="AZ30" s="35"/>
      <c r="BA30" s="62">
        <f>50+58</f>
        <v>108</v>
      </c>
      <c r="BB30" s="35"/>
      <c r="BC30" s="62">
        <f>59+55</f>
        <v>114</v>
      </c>
      <c r="BD30" s="35"/>
      <c r="BE30" s="62">
        <f>96+90</f>
        <v>186</v>
      </c>
      <c r="BF30" s="35"/>
      <c r="BG30" s="62">
        <f>23+18</f>
        <v>41</v>
      </c>
      <c r="BH30" s="35"/>
      <c r="BI30" s="62">
        <f>76+76</f>
        <v>152</v>
      </c>
      <c r="BJ30" s="35"/>
      <c r="BK30" s="62">
        <f>47+36</f>
        <v>83</v>
      </c>
      <c r="BL30" s="35"/>
      <c r="BM30" s="62">
        <f>42+36</f>
        <v>78</v>
      </c>
      <c r="BN30" s="35"/>
      <c r="BO30" s="62">
        <f>32+44</f>
        <v>76</v>
      </c>
      <c r="BP30" s="35"/>
      <c r="BQ30" s="62">
        <f>72+70</f>
        <v>142</v>
      </c>
      <c r="BR30" s="35"/>
      <c r="BS30" s="62">
        <f>92+80</f>
        <v>172</v>
      </c>
      <c r="BT30" s="35"/>
      <c r="BU30" s="62">
        <f>114+99</f>
        <v>213</v>
      </c>
      <c r="BV30" s="35"/>
      <c r="BW30" s="62">
        <f>124+107</f>
        <v>231</v>
      </c>
      <c r="BX30" s="35"/>
      <c r="BY30" s="115">
        <f>329+325</f>
        <v>654</v>
      </c>
      <c r="CA30" s="115"/>
      <c r="CC30" s="115"/>
      <c r="CE30" s="62"/>
      <c r="CG30" s="115">
        <f>+SUM(BY30:CE30)</f>
        <v>654</v>
      </c>
      <c r="DO30" s="37"/>
      <c r="DP30" s="37"/>
    </row>
    <row r="31" spans="1:120" x14ac:dyDescent="0.2">
      <c r="A31" s="61" t="s">
        <v>77</v>
      </c>
      <c r="C31" s="62">
        <f>230+240</f>
        <v>470</v>
      </c>
      <c r="D31" s="35"/>
      <c r="E31" s="62">
        <f>148+145</f>
        <v>293</v>
      </c>
      <c r="F31" s="35"/>
      <c r="G31" s="62">
        <f>3+4</f>
        <v>7</v>
      </c>
      <c r="H31" s="35"/>
      <c r="I31" s="62">
        <v>2</v>
      </c>
      <c r="J31" s="35"/>
      <c r="K31" s="62">
        <f>6+1</f>
        <v>7</v>
      </c>
      <c r="L31" s="35"/>
      <c r="M31" s="62">
        <f>2+3</f>
        <v>5</v>
      </c>
      <c r="N31" s="35"/>
      <c r="O31" s="62">
        <f>1+1</f>
        <v>2</v>
      </c>
      <c r="P31" s="35"/>
      <c r="Q31" s="62">
        <v>0</v>
      </c>
      <c r="R31" s="35"/>
      <c r="S31" s="62">
        <f>203+214</f>
        <v>417</v>
      </c>
      <c r="T31" s="35"/>
      <c r="U31" s="62">
        <f>181+175</f>
        <v>356</v>
      </c>
      <c r="V31" s="35"/>
      <c r="W31" s="62">
        <v>1</v>
      </c>
      <c r="X31" s="35"/>
      <c r="Y31" s="62">
        <f>2+1</f>
        <v>3</v>
      </c>
      <c r="Z31" s="35"/>
      <c r="AA31" s="62">
        <f>4+2</f>
        <v>6</v>
      </c>
      <c r="AB31" s="35"/>
      <c r="AC31" s="62">
        <f>2+2</f>
        <v>4</v>
      </c>
      <c r="AD31" s="35"/>
      <c r="AE31" s="62">
        <f>235+245</f>
        <v>480</v>
      </c>
      <c r="AF31" s="35"/>
      <c r="AG31" s="62">
        <f>143+144</f>
        <v>287</v>
      </c>
      <c r="AH31" s="35"/>
      <c r="AI31" s="62"/>
      <c r="AJ31" s="35"/>
      <c r="AK31" s="62"/>
      <c r="AL31" s="35"/>
      <c r="AM31" s="62">
        <f>251+252</f>
        <v>503</v>
      </c>
      <c r="AN31" s="35"/>
      <c r="AO31" s="62">
        <f>224+247</f>
        <v>471</v>
      </c>
      <c r="AP31" s="35"/>
      <c r="AQ31" s="62">
        <f>139+137</f>
        <v>276</v>
      </c>
      <c r="AR31" s="35"/>
      <c r="AS31" s="62">
        <f>138+129</f>
        <v>267</v>
      </c>
      <c r="AT31" s="35"/>
      <c r="AU31" s="62">
        <f>11+11</f>
        <v>22</v>
      </c>
      <c r="AV31" s="35"/>
      <c r="AW31" s="62">
        <f>63+54</f>
        <v>117</v>
      </c>
      <c r="AX31" s="35"/>
      <c r="AY31" s="62">
        <f>84+88</f>
        <v>172</v>
      </c>
      <c r="AZ31" s="35"/>
      <c r="BA31" s="62">
        <f>50+38</f>
        <v>88</v>
      </c>
      <c r="BB31" s="35"/>
      <c r="BC31" s="62">
        <f>118+124</f>
        <v>242</v>
      </c>
      <c r="BD31" s="35"/>
      <c r="BE31" s="62">
        <f>119+135</f>
        <v>254</v>
      </c>
      <c r="BF31" s="35"/>
      <c r="BG31" s="62">
        <f>40+45</f>
        <v>85</v>
      </c>
      <c r="BH31" s="35"/>
      <c r="BI31" s="62">
        <f>128+143</f>
        <v>271</v>
      </c>
      <c r="BJ31" s="35"/>
      <c r="BK31" s="62">
        <f>45+38</f>
        <v>83</v>
      </c>
      <c r="BL31" s="35"/>
      <c r="BM31" s="62">
        <f>44+41</f>
        <v>85</v>
      </c>
      <c r="BN31" s="35"/>
      <c r="BO31" s="62">
        <f>76+91</f>
        <v>167</v>
      </c>
      <c r="BP31" s="35"/>
      <c r="BQ31" s="62">
        <f>102+129</f>
        <v>231</v>
      </c>
      <c r="BR31" s="35"/>
      <c r="BS31" s="62">
        <f>103+89</f>
        <v>192</v>
      </c>
      <c r="BT31" s="35"/>
      <c r="BU31" s="62">
        <f>131+117</f>
        <v>248</v>
      </c>
      <c r="BV31" s="35"/>
      <c r="BW31" s="62">
        <f>209+231</f>
        <v>440</v>
      </c>
      <c r="BX31" s="35"/>
      <c r="BY31" s="115">
        <f>398+400</f>
        <v>798</v>
      </c>
      <c r="CA31" s="115"/>
      <c r="CC31" s="115"/>
      <c r="CE31" s="62"/>
      <c r="CG31" s="115">
        <f>+SUM(BY31:CE31)</f>
        <v>798</v>
      </c>
      <c r="DO31" s="37"/>
      <c r="DP31" s="37"/>
    </row>
    <row r="32" spans="1:120" x14ac:dyDescent="0.2">
      <c r="A32" s="61" t="s">
        <v>78</v>
      </c>
      <c r="C32" s="62">
        <f>51+166+123</f>
        <v>340</v>
      </c>
      <c r="D32" s="35"/>
      <c r="E32" s="62">
        <f>29+96+76</f>
        <v>201</v>
      </c>
      <c r="F32" s="35"/>
      <c r="G32" s="62">
        <v>8</v>
      </c>
      <c r="H32" s="35"/>
      <c r="I32" s="62">
        <f>4+2</f>
        <v>6</v>
      </c>
      <c r="J32" s="35"/>
      <c r="K32" s="62">
        <f>2+2</f>
        <v>4</v>
      </c>
      <c r="L32" s="35"/>
      <c r="M32" s="62">
        <f>1+1</f>
        <v>2</v>
      </c>
      <c r="N32" s="35"/>
      <c r="O32" s="62">
        <v>0</v>
      </c>
      <c r="P32" s="35"/>
      <c r="Q32" s="62">
        <v>0</v>
      </c>
      <c r="R32" s="35"/>
      <c r="S32" s="62">
        <f>45+147+103</f>
        <v>295</v>
      </c>
      <c r="T32" s="35"/>
      <c r="U32" s="62">
        <f>38+125+95</f>
        <v>258</v>
      </c>
      <c r="V32" s="35"/>
      <c r="W32" s="62">
        <f>2+1</f>
        <v>3</v>
      </c>
      <c r="X32" s="35"/>
      <c r="Y32" s="62">
        <v>2</v>
      </c>
      <c r="Z32" s="35"/>
      <c r="AA32" s="62">
        <f>1+3</f>
        <v>4</v>
      </c>
      <c r="AB32" s="35"/>
      <c r="AC32" s="62">
        <f>1+2</f>
        <v>3</v>
      </c>
      <c r="AD32" s="35"/>
      <c r="AE32" s="62">
        <f>50+178+125</f>
        <v>353</v>
      </c>
      <c r="AF32" s="35"/>
      <c r="AG32" s="62">
        <f>31+98+75</f>
        <v>204</v>
      </c>
      <c r="AH32" s="35"/>
      <c r="AI32" s="62"/>
      <c r="AJ32" s="35"/>
      <c r="AK32" s="62"/>
      <c r="AL32" s="35"/>
      <c r="AM32" s="62">
        <f>49+186+126</f>
        <v>361</v>
      </c>
      <c r="AN32" s="35"/>
      <c r="AO32" s="62">
        <f>46+169+118</f>
        <v>333</v>
      </c>
      <c r="AP32" s="35"/>
      <c r="AQ32" s="62">
        <f>33+90+73</f>
        <v>196</v>
      </c>
      <c r="AR32" s="35"/>
      <c r="AS32" s="62">
        <f>33+93+74</f>
        <v>200</v>
      </c>
      <c r="AT32" s="35"/>
      <c r="AU32" s="62">
        <f>4+2+4</f>
        <v>10</v>
      </c>
      <c r="AV32" s="35"/>
      <c r="AW32" s="62">
        <f>10+22+28</f>
        <v>60</v>
      </c>
      <c r="AX32" s="35"/>
      <c r="AY32" s="62">
        <f>21+75+58</f>
        <v>154</v>
      </c>
      <c r="AZ32" s="35"/>
      <c r="BA32" s="62">
        <f>16+53+36</f>
        <v>105</v>
      </c>
      <c r="BB32" s="35"/>
      <c r="BC32" s="62">
        <f>16+65+59</f>
        <v>140</v>
      </c>
      <c r="BD32" s="35"/>
      <c r="BE32" s="62">
        <f>25+102+80</f>
        <v>207</v>
      </c>
      <c r="BF32" s="35"/>
      <c r="BG32" s="62">
        <f>7+25+19</f>
        <v>51</v>
      </c>
      <c r="BH32" s="35"/>
      <c r="BI32" s="62">
        <f>36+101+64</f>
        <v>201</v>
      </c>
      <c r="BJ32" s="35"/>
      <c r="BK32" s="62">
        <f>11+32+17</f>
        <v>60</v>
      </c>
      <c r="BL32" s="35"/>
      <c r="BM32" s="62">
        <f>8+23+17</f>
        <v>48</v>
      </c>
      <c r="BN32" s="35"/>
      <c r="BO32" s="62">
        <f>13+65+43</f>
        <v>121</v>
      </c>
      <c r="BP32" s="35"/>
      <c r="BQ32" s="62">
        <f>29+77+57</f>
        <v>163</v>
      </c>
      <c r="BR32" s="35"/>
      <c r="BS32" s="62">
        <f>22+76+53</f>
        <v>151</v>
      </c>
      <c r="BT32" s="35"/>
      <c r="BU32" s="62">
        <f>24+104+64</f>
        <v>192</v>
      </c>
      <c r="BV32" s="35"/>
      <c r="BW32" s="62">
        <f>53+144+116</f>
        <v>313</v>
      </c>
      <c r="BX32" s="35"/>
      <c r="BY32" s="115">
        <f>84+281+206</f>
        <v>571</v>
      </c>
      <c r="CA32" s="115"/>
      <c r="CC32" s="115"/>
      <c r="CE32" s="62"/>
      <c r="CG32" s="115">
        <f>+SUM(BY32:CE32)</f>
        <v>571</v>
      </c>
      <c r="DO32" s="37"/>
      <c r="DP32" s="37"/>
    </row>
    <row r="33" spans="1:120" ht="13.5" thickBot="1" x14ac:dyDescent="0.25"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DO33" s="37"/>
      <c r="DP33" s="37"/>
    </row>
    <row r="34" spans="1:120" s="48" customFormat="1" ht="13.5" thickBot="1" x14ac:dyDescent="0.25">
      <c r="A34" s="3" t="s">
        <v>24</v>
      </c>
      <c r="C34" s="41">
        <f>+SUM(C11:C32)</f>
        <v>7318</v>
      </c>
      <c r="D34" s="118"/>
      <c r="E34" s="41">
        <f>+SUM(E11:E32)</f>
        <v>6421</v>
      </c>
      <c r="F34" s="118"/>
      <c r="G34" s="41">
        <f>+SUM(G11:G32)</f>
        <v>227</v>
      </c>
      <c r="H34" s="118"/>
      <c r="I34" s="41">
        <f>+SUM(I11:I32)</f>
        <v>60</v>
      </c>
      <c r="J34" s="118"/>
      <c r="K34" s="41">
        <f>+SUM(K11:K32)</f>
        <v>103</v>
      </c>
      <c r="L34" s="118"/>
      <c r="M34" s="41">
        <f>+SUM(M11:M32)</f>
        <v>80</v>
      </c>
      <c r="N34" s="118"/>
      <c r="O34" s="41">
        <f>+SUM(O11:O32)</f>
        <v>34</v>
      </c>
      <c r="P34" s="118"/>
      <c r="Q34" s="41">
        <f>+SUM(Q11:Q32)</f>
        <v>15</v>
      </c>
      <c r="R34" s="118"/>
      <c r="S34" s="41">
        <f>+SUM(S11:S32)</f>
        <v>6257</v>
      </c>
      <c r="T34" s="118"/>
      <c r="U34" s="41">
        <f>+SUM(U11:U32)</f>
        <v>7650</v>
      </c>
      <c r="V34" s="118"/>
      <c r="W34" s="41">
        <f>+SUM(W11:W32)</f>
        <v>78</v>
      </c>
      <c r="X34" s="118"/>
      <c r="Y34" s="41">
        <f>+SUM(Y11:Y32)</f>
        <v>46</v>
      </c>
      <c r="Z34" s="118"/>
      <c r="AA34" s="41">
        <f>+SUM(AA11:AA32)</f>
        <v>88</v>
      </c>
      <c r="AB34" s="118"/>
      <c r="AC34" s="41">
        <f>+SUM(AC11:AC32)</f>
        <v>58</v>
      </c>
      <c r="AD34" s="118"/>
      <c r="AE34" s="41">
        <f>+SUM(AE11:AE32)</f>
        <v>7449</v>
      </c>
      <c r="AF34" s="118"/>
      <c r="AG34" s="41">
        <f>+SUM(AG11:AG32)</f>
        <v>6508</v>
      </c>
      <c r="AH34" s="118"/>
      <c r="AI34" s="41">
        <f>+SUM(AI11:AI32)</f>
        <v>1007</v>
      </c>
      <c r="AJ34" s="118"/>
      <c r="AK34" s="41">
        <f>+SUM(AK11:AK32)</f>
        <v>554</v>
      </c>
      <c r="AL34" s="118"/>
      <c r="AM34" s="41">
        <f>+SUM(AM11:AM32)</f>
        <v>7650</v>
      </c>
      <c r="AN34" s="118"/>
      <c r="AO34" s="41">
        <f>+SUM(AO11:AO32)</f>
        <v>7105</v>
      </c>
      <c r="AP34" s="118"/>
      <c r="AQ34" s="41">
        <f>+SUM(AQ11:AQ32)</f>
        <v>6168</v>
      </c>
      <c r="AR34" s="118"/>
      <c r="AS34" s="41">
        <f>+SUM(AS11:AS32)</f>
        <v>6181</v>
      </c>
      <c r="AT34" s="118"/>
      <c r="AU34" s="41">
        <f>+SUM(AU11:AU32)</f>
        <v>261</v>
      </c>
      <c r="AV34" s="118"/>
      <c r="AW34" s="41">
        <f>+SUM(AW11:AW32)</f>
        <v>2326</v>
      </c>
      <c r="AX34" s="118"/>
      <c r="AY34" s="41">
        <f>+SUM(AY11:AY32)</f>
        <v>3194</v>
      </c>
      <c r="AZ34" s="118"/>
      <c r="BA34" s="41">
        <f>+SUM(BA11:BA32)</f>
        <v>1943</v>
      </c>
      <c r="BB34" s="118"/>
      <c r="BC34" s="41">
        <f>+SUM(BC11:BC32)</f>
        <v>3475</v>
      </c>
      <c r="BD34" s="118"/>
      <c r="BE34" s="41">
        <f>+SUM(BE11:BE32)</f>
        <v>4150</v>
      </c>
      <c r="BF34" s="118"/>
      <c r="BG34" s="41">
        <f>+SUM(BG11:BG32)</f>
        <v>1151</v>
      </c>
      <c r="BH34" s="118"/>
      <c r="BI34" s="41">
        <f>+SUM(BI11:BI32)</f>
        <v>3984</v>
      </c>
      <c r="BJ34" s="118"/>
      <c r="BK34" s="41">
        <f>+SUM(BK11:BK32)</f>
        <v>1704</v>
      </c>
      <c r="BL34" s="118"/>
      <c r="BM34" s="41">
        <f>+SUM(BM11:BM32)</f>
        <v>1523</v>
      </c>
      <c r="BN34" s="118"/>
      <c r="BO34" s="41">
        <f>+SUM(BO11:BO32)</f>
        <v>2131</v>
      </c>
      <c r="BP34" s="118"/>
      <c r="BQ34" s="41">
        <f>+SUM(BQ11:BQ32)</f>
        <v>3706</v>
      </c>
      <c r="BR34" s="118"/>
      <c r="BS34" s="41">
        <f>+SUM(BS11:BS32)</f>
        <v>3575</v>
      </c>
      <c r="BT34" s="118"/>
      <c r="BU34" s="41">
        <f>+SUM(BU11:BU32)</f>
        <v>4806</v>
      </c>
      <c r="BV34" s="118"/>
      <c r="BW34" s="41">
        <f>+SUM(BW11:BW32)</f>
        <v>6965</v>
      </c>
      <c r="BX34" s="118"/>
      <c r="BY34" s="41">
        <f>+SUM(BY11:BY32)</f>
        <v>14540</v>
      </c>
      <c r="BZ34" s="42"/>
      <c r="CA34" s="41">
        <f>+SUM(CA11:CA32)</f>
        <v>1805</v>
      </c>
      <c r="CB34" s="42"/>
      <c r="CC34" s="41">
        <f>+SUM(CC11:CC32)</f>
        <v>375</v>
      </c>
      <c r="CD34" s="42"/>
      <c r="CE34" s="41">
        <f>+SUM(CE11:CE32)</f>
        <v>0</v>
      </c>
      <c r="CF34" s="42"/>
      <c r="CG34" s="41">
        <f>+SUM(CG11:CG32)</f>
        <v>16720</v>
      </c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</row>
    <row r="35" spans="1:120" x14ac:dyDescent="0.2">
      <c r="A35" s="36" t="s">
        <v>73</v>
      </c>
      <c r="C35" s="35">
        <v>830</v>
      </c>
      <c r="D35" s="35"/>
      <c r="E35" s="35">
        <v>865</v>
      </c>
      <c r="F35" s="35"/>
      <c r="G35" s="35">
        <v>26</v>
      </c>
      <c r="H35" s="35"/>
      <c r="I35" s="35">
        <v>1</v>
      </c>
      <c r="J35" s="35"/>
      <c r="K35" s="35">
        <v>5</v>
      </c>
      <c r="L35" s="35"/>
      <c r="M35" s="35">
        <v>10</v>
      </c>
      <c r="N35" s="35"/>
      <c r="O35" s="35">
        <v>4</v>
      </c>
      <c r="P35" s="35"/>
      <c r="Q35" s="35">
        <v>4</v>
      </c>
      <c r="R35" s="35"/>
      <c r="S35" s="35">
        <v>691</v>
      </c>
      <c r="T35" s="35"/>
      <c r="U35" s="35">
        <v>1042</v>
      </c>
      <c r="V35" s="35"/>
      <c r="W35" s="35">
        <v>8</v>
      </c>
      <c r="X35" s="35"/>
      <c r="Y35" s="35">
        <v>9</v>
      </c>
      <c r="Z35" s="35"/>
      <c r="AA35" s="35">
        <v>7</v>
      </c>
      <c r="AB35" s="35"/>
      <c r="AC35" s="35">
        <v>5</v>
      </c>
      <c r="AD35" s="35"/>
      <c r="AE35" s="35">
        <v>858</v>
      </c>
      <c r="AF35" s="35"/>
      <c r="AG35" s="35">
        <v>905</v>
      </c>
      <c r="AH35" s="35"/>
      <c r="AI35" s="35">
        <v>119</v>
      </c>
      <c r="AJ35" s="35"/>
      <c r="AK35" s="35">
        <v>87</v>
      </c>
      <c r="AL35" s="35"/>
      <c r="AM35" s="35">
        <v>840</v>
      </c>
      <c r="AN35" s="35"/>
      <c r="AO35" s="35">
        <v>774</v>
      </c>
      <c r="AP35" s="35"/>
      <c r="AQ35" s="35">
        <v>910</v>
      </c>
      <c r="AR35" s="35"/>
      <c r="AS35" s="35">
        <v>902</v>
      </c>
      <c r="AT35" s="35"/>
      <c r="AU35" s="35">
        <v>32</v>
      </c>
      <c r="AV35" s="35"/>
      <c r="AW35" s="35">
        <v>248</v>
      </c>
      <c r="AX35" s="35"/>
      <c r="AY35" s="35">
        <v>452</v>
      </c>
      <c r="AZ35" s="35"/>
      <c r="BA35" s="35">
        <v>188</v>
      </c>
      <c r="BB35" s="35"/>
      <c r="BC35" s="35">
        <v>541</v>
      </c>
      <c r="BD35" s="35"/>
      <c r="BE35" s="35">
        <v>589</v>
      </c>
      <c r="BF35" s="35"/>
      <c r="BG35" s="35">
        <v>195</v>
      </c>
      <c r="BH35" s="35"/>
      <c r="BI35" s="35">
        <v>573</v>
      </c>
      <c r="BJ35" s="35"/>
      <c r="BK35" s="35">
        <v>354</v>
      </c>
      <c r="BL35" s="35"/>
      <c r="BM35" s="35">
        <v>288</v>
      </c>
      <c r="BN35" s="35"/>
      <c r="BO35" s="35">
        <v>265</v>
      </c>
      <c r="BP35" s="35"/>
      <c r="BQ35" s="35">
        <v>518</v>
      </c>
      <c r="BR35" s="35"/>
      <c r="BS35" s="35">
        <v>641</v>
      </c>
      <c r="BT35" s="35"/>
      <c r="BU35" s="35">
        <v>966</v>
      </c>
      <c r="BV35" s="35"/>
      <c r="BW35" s="35">
        <v>636</v>
      </c>
      <c r="BX35" s="35"/>
      <c r="DO35" s="37"/>
      <c r="DP35" s="37"/>
    </row>
    <row r="36" spans="1:120" x14ac:dyDescent="0.2">
      <c r="A36" s="36" t="s">
        <v>25</v>
      </c>
      <c r="C36" s="35">
        <v>147</v>
      </c>
      <c r="D36" s="35"/>
      <c r="E36" s="35">
        <v>181</v>
      </c>
      <c r="F36" s="35"/>
      <c r="G36" s="35">
        <v>10</v>
      </c>
      <c r="H36" s="35"/>
      <c r="I36" s="35">
        <v>0</v>
      </c>
      <c r="J36" s="35"/>
      <c r="K36" s="35">
        <v>5</v>
      </c>
      <c r="L36" s="35"/>
      <c r="M36" s="35">
        <v>2</v>
      </c>
      <c r="N36" s="35"/>
      <c r="O36" s="35">
        <v>1</v>
      </c>
      <c r="P36" s="35"/>
      <c r="Q36" s="35">
        <v>1</v>
      </c>
      <c r="R36" s="35"/>
      <c r="S36" s="35">
        <v>129</v>
      </c>
      <c r="T36" s="35"/>
      <c r="U36" s="35">
        <v>213</v>
      </c>
      <c r="V36" s="35"/>
      <c r="W36" s="35">
        <v>4</v>
      </c>
      <c r="X36" s="35"/>
      <c r="Y36" s="35">
        <v>1</v>
      </c>
      <c r="Z36" s="35"/>
      <c r="AA36" s="35">
        <v>2</v>
      </c>
      <c r="AB36" s="35"/>
      <c r="AC36" s="35">
        <v>1</v>
      </c>
      <c r="AD36" s="35"/>
      <c r="AE36" s="35">
        <v>149</v>
      </c>
      <c r="AF36" s="35"/>
      <c r="AG36" s="35">
        <v>199</v>
      </c>
      <c r="AH36" s="35"/>
      <c r="AI36" s="35">
        <v>18</v>
      </c>
      <c r="AJ36" s="35"/>
      <c r="AK36" s="35">
        <v>10</v>
      </c>
      <c r="AL36" s="35"/>
      <c r="AM36" s="35">
        <v>153</v>
      </c>
      <c r="AN36" s="35"/>
      <c r="AO36" s="35">
        <v>140</v>
      </c>
      <c r="AP36" s="35"/>
      <c r="AQ36" s="35">
        <v>189</v>
      </c>
      <c r="AR36" s="35"/>
      <c r="AS36" s="35">
        <v>191</v>
      </c>
      <c r="AT36" s="35"/>
      <c r="AU36" s="35">
        <v>8</v>
      </c>
      <c r="AV36" s="35"/>
      <c r="AW36" s="35">
        <v>56</v>
      </c>
      <c r="AX36" s="35"/>
      <c r="AY36" s="35">
        <v>55</v>
      </c>
      <c r="AZ36" s="35"/>
      <c r="BA36" s="35">
        <v>33</v>
      </c>
      <c r="BB36" s="35"/>
      <c r="BC36" s="35">
        <v>79</v>
      </c>
      <c r="BD36" s="35"/>
      <c r="BE36" s="35">
        <v>106</v>
      </c>
      <c r="BF36" s="35"/>
      <c r="BG36" s="35">
        <v>29</v>
      </c>
      <c r="BH36" s="35"/>
      <c r="BI36" s="35">
        <v>80</v>
      </c>
      <c r="BJ36" s="35"/>
      <c r="BK36" s="35">
        <v>59</v>
      </c>
      <c r="BL36" s="35"/>
      <c r="BM36" s="35">
        <v>42</v>
      </c>
      <c r="BN36" s="35"/>
      <c r="BO36" s="35">
        <v>62</v>
      </c>
      <c r="BP36" s="35"/>
      <c r="BQ36" s="35">
        <v>84</v>
      </c>
      <c r="BR36" s="35"/>
      <c r="BS36" s="35">
        <v>97</v>
      </c>
      <c r="BT36" s="35"/>
      <c r="BU36" s="35">
        <v>136</v>
      </c>
      <c r="BV36" s="35"/>
      <c r="BW36" s="35">
        <v>147</v>
      </c>
      <c r="BX36" s="35"/>
      <c r="DO36" s="37"/>
      <c r="DP36" s="37"/>
    </row>
    <row r="37" spans="1:120" s="11" customFormat="1" ht="13.5" thickBot="1" x14ac:dyDescent="0.25">
      <c r="A37" s="4" t="s">
        <v>79</v>
      </c>
      <c r="C37" s="19">
        <v>8</v>
      </c>
      <c r="D37" s="19"/>
      <c r="E37" s="19">
        <v>7</v>
      </c>
      <c r="F37" s="19"/>
      <c r="G37" s="19">
        <v>0</v>
      </c>
      <c r="H37" s="19"/>
      <c r="I37" s="19">
        <v>0</v>
      </c>
      <c r="J37" s="19"/>
      <c r="K37" s="19">
        <v>0</v>
      </c>
      <c r="L37" s="19"/>
      <c r="M37" s="19">
        <v>0</v>
      </c>
      <c r="N37" s="19"/>
      <c r="O37" s="19">
        <v>0</v>
      </c>
      <c r="P37" s="19"/>
      <c r="Q37" s="19">
        <v>0</v>
      </c>
      <c r="R37" s="19"/>
      <c r="S37" s="19">
        <v>7</v>
      </c>
      <c r="T37" s="19"/>
      <c r="U37" s="19">
        <v>8</v>
      </c>
      <c r="V37" s="19"/>
      <c r="W37" s="19">
        <v>0</v>
      </c>
      <c r="X37" s="19"/>
      <c r="Y37" s="19">
        <v>0</v>
      </c>
      <c r="Z37" s="19"/>
      <c r="AA37" s="19">
        <v>0</v>
      </c>
      <c r="AB37" s="19"/>
      <c r="AC37" s="19">
        <v>0</v>
      </c>
      <c r="AD37" s="19"/>
      <c r="AE37" s="19">
        <v>8</v>
      </c>
      <c r="AF37" s="19"/>
      <c r="AG37" s="19">
        <v>7</v>
      </c>
      <c r="AH37" s="19"/>
      <c r="AI37" s="19">
        <v>0</v>
      </c>
      <c r="AJ37" s="19"/>
      <c r="AK37" s="19">
        <v>0</v>
      </c>
      <c r="AL37" s="19"/>
      <c r="AM37" s="19">
        <v>0</v>
      </c>
      <c r="AN37" s="19"/>
      <c r="AO37" s="19">
        <v>0</v>
      </c>
      <c r="AP37" s="19"/>
      <c r="AQ37" s="19">
        <v>2</v>
      </c>
      <c r="AR37" s="19"/>
      <c r="AS37" s="19">
        <v>2</v>
      </c>
      <c r="AT37" s="19"/>
      <c r="AU37" s="19">
        <v>0</v>
      </c>
      <c r="AV37" s="19"/>
      <c r="AW37" s="19">
        <v>0</v>
      </c>
      <c r="AX37" s="19"/>
      <c r="AY37" s="19">
        <v>1</v>
      </c>
      <c r="AZ37" s="19"/>
      <c r="BA37" s="19">
        <v>0</v>
      </c>
      <c r="BB37" s="19"/>
      <c r="BC37" s="19">
        <v>1</v>
      </c>
      <c r="BD37" s="19"/>
      <c r="BE37" s="19">
        <v>0</v>
      </c>
      <c r="BF37" s="19"/>
      <c r="BG37" s="19">
        <v>0</v>
      </c>
      <c r="BH37" s="19"/>
      <c r="BI37" s="19">
        <v>1</v>
      </c>
      <c r="BJ37" s="19"/>
      <c r="BK37" s="19">
        <v>0</v>
      </c>
      <c r="BL37" s="19"/>
      <c r="BM37" s="19">
        <v>0</v>
      </c>
      <c r="BN37" s="19"/>
      <c r="BO37" s="19">
        <v>1</v>
      </c>
      <c r="BP37" s="19"/>
      <c r="BQ37" s="19">
        <v>2</v>
      </c>
      <c r="BR37" s="19"/>
      <c r="BS37" s="19">
        <v>0</v>
      </c>
      <c r="BT37" s="19"/>
      <c r="BU37" s="19">
        <v>10</v>
      </c>
      <c r="BV37" s="19"/>
      <c r="BW37" s="19">
        <v>1</v>
      </c>
      <c r="BX37" s="19"/>
      <c r="BY37" s="57"/>
      <c r="BZ37" s="19"/>
      <c r="CA37" s="57"/>
      <c r="CB37" s="57"/>
      <c r="CC37" s="57"/>
      <c r="CD37" s="19"/>
      <c r="CE37" s="19"/>
      <c r="CF37" s="19"/>
      <c r="CG37" s="57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</row>
    <row r="38" spans="1:120" s="48" customFormat="1" ht="13.5" thickBot="1" x14ac:dyDescent="0.25">
      <c r="A38" s="3" t="s">
        <v>26</v>
      </c>
      <c r="C38" s="41">
        <f>+SUM(C34:C37)</f>
        <v>8303</v>
      </c>
      <c r="D38" s="118"/>
      <c r="E38" s="41">
        <f>+SUM(E34:E37)</f>
        <v>7474</v>
      </c>
      <c r="F38" s="118"/>
      <c r="G38" s="41">
        <f>+SUM(G34:G37)</f>
        <v>263</v>
      </c>
      <c r="H38" s="118"/>
      <c r="I38" s="41">
        <f>+SUM(I34:I37)</f>
        <v>61</v>
      </c>
      <c r="J38" s="118"/>
      <c r="K38" s="41">
        <f>+SUM(K34:K37)</f>
        <v>113</v>
      </c>
      <c r="L38" s="118"/>
      <c r="M38" s="41">
        <f>+SUM(M34:M37)</f>
        <v>92</v>
      </c>
      <c r="N38" s="118"/>
      <c r="O38" s="41">
        <f>+SUM(O34:O37)</f>
        <v>39</v>
      </c>
      <c r="P38" s="118"/>
      <c r="Q38" s="41">
        <f>+SUM(Q34:Q37)</f>
        <v>20</v>
      </c>
      <c r="R38" s="118"/>
      <c r="S38" s="41">
        <f>+SUM(S34:S37)</f>
        <v>7084</v>
      </c>
      <c r="T38" s="118"/>
      <c r="U38" s="41">
        <f>+SUM(U34:U37)</f>
        <v>8913</v>
      </c>
      <c r="V38" s="118"/>
      <c r="W38" s="41">
        <f>+SUM(W34:W37)</f>
        <v>90</v>
      </c>
      <c r="X38" s="118"/>
      <c r="Y38" s="41">
        <f>+SUM(Y34:Y37)</f>
        <v>56</v>
      </c>
      <c r="Z38" s="118"/>
      <c r="AA38" s="41">
        <f>+SUM(AA34:AA37)</f>
        <v>97</v>
      </c>
      <c r="AB38" s="118"/>
      <c r="AC38" s="41">
        <f>+SUM(AC34:AC37)</f>
        <v>64</v>
      </c>
      <c r="AD38" s="118"/>
      <c r="AE38" s="41">
        <f>+SUM(AE34:AE37)</f>
        <v>8464</v>
      </c>
      <c r="AF38" s="118"/>
      <c r="AG38" s="41">
        <f>+SUM(AG34:AG37)</f>
        <v>7619</v>
      </c>
      <c r="AH38" s="118"/>
      <c r="AI38" s="41">
        <f>+SUM(AI34:AI37)</f>
        <v>1144</v>
      </c>
      <c r="AJ38" s="118"/>
      <c r="AK38" s="41">
        <f>+SUM(AK34:AK37)</f>
        <v>651</v>
      </c>
      <c r="AL38" s="118"/>
      <c r="AM38" s="41">
        <f>+SUM(AM34:AM37)</f>
        <v>8643</v>
      </c>
      <c r="AN38" s="118"/>
      <c r="AO38" s="41">
        <f>+SUM(AO34:AO37)</f>
        <v>8019</v>
      </c>
      <c r="AP38" s="118"/>
      <c r="AQ38" s="41">
        <f>+SUM(AQ34:AQ37)</f>
        <v>7269</v>
      </c>
      <c r="AR38" s="118"/>
      <c r="AS38" s="41">
        <f>+SUM(AS34:AS37)</f>
        <v>7276</v>
      </c>
      <c r="AT38" s="118"/>
      <c r="AU38" s="41">
        <f>+SUM(AU34:AU37)</f>
        <v>301</v>
      </c>
      <c r="AV38" s="118"/>
      <c r="AW38" s="41">
        <f>+SUM(AW34:AW37)</f>
        <v>2630</v>
      </c>
      <c r="AX38" s="118"/>
      <c r="AY38" s="41">
        <f>+SUM(AY34:AY37)</f>
        <v>3702</v>
      </c>
      <c r="AZ38" s="118"/>
      <c r="BA38" s="41">
        <f>+SUM(BA34:BA37)</f>
        <v>2164</v>
      </c>
      <c r="BB38" s="118"/>
      <c r="BC38" s="41">
        <f>+SUM(BC34:BC37)</f>
        <v>4096</v>
      </c>
      <c r="BD38" s="118"/>
      <c r="BE38" s="41">
        <f>+SUM(BE34:BE37)</f>
        <v>4845</v>
      </c>
      <c r="BF38" s="118"/>
      <c r="BG38" s="41">
        <f>+SUM(BG34:BG37)</f>
        <v>1375</v>
      </c>
      <c r="BH38" s="118"/>
      <c r="BI38" s="41">
        <f>+SUM(BI34:BI37)</f>
        <v>4638</v>
      </c>
      <c r="BJ38" s="118"/>
      <c r="BK38" s="41">
        <f>+SUM(BK34:BK37)</f>
        <v>2117</v>
      </c>
      <c r="BL38" s="118"/>
      <c r="BM38" s="41">
        <f>+SUM(BM34:BM37)</f>
        <v>1853</v>
      </c>
      <c r="BN38" s="118"/>
      <c r="BO38" s="41">
        <f>+SUM(BO34:BO37)</f>
        <v>2459</v>
      </c>
      <c r="BP38" s="118"/>
      <c r="BQ38" s="41">
        <f>+SUM(BQ34:BQ37)</f>
        <v>4310</v>
      </c>
      <c r="BR38" s="118"/>
      <c r="BS38" s="41">
        <f>+SUM(BS34:BS37)</f>
        <v>4313</v>
      </c>
      <c r="BT38" s="118"/>
      <c r="BU38" s="41">
        <f>+SUM(BU34:BU37)</f>
        <v>5918</v>
      </c>
      <c r="BV38" s="118"/>
      <c r="BW38" s="41">
        <f>+SUM(BW34:BW37)</f>
        <v>7749</v>
      </c>
      <c r="BX38" s="118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</row>
    <row r="39" spans="1:120" x14ac:dyDescent="0.2">
      <c r="A39" s="3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</row>
    <row r="40" spans="1:120" x14ac:dyDescent="0.2"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</row>
    <row r="41" spans="1:120" x14ac:dyDescent="0.2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</row>
    <row r="42" spans="1:120" x14ac:dyDescent="0.2"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</row>
    <row r="43" spans="1:120" x14ac:dyDescent="0.2"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</row>
    <row r="44" spans="1:120" x14ac:dyDescent="0.2"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</row>
    <row r="45" spans="1:120" x14ac:dyDescent="0.2"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</row>
    <row r="56" spans="1:1" x14ac:dyDescent="0.2">
      <c r="A56" s="3"/>
    </row>
    <row r="57" spans="1:1" x14ac:dyDescent="0.2">
      <c r="A57" s="36"/>
    </row>
    <row r="58" spans="1:1" x14ac:dyDescent="0.2">
      <c r="A58" s="36"/>
    </row>
    <row r="59" spans="1:1" x14ac:dyDescent="0.2">
      <c r="A59" s="36"/>
    </row>
    <row r="60" spans="1:1" x14ac:dyDescent="0.2">
      <c r="A60" s="3"/>
    </row>
  </sheetData>
  <customSheetViews>
    <customSheetView guid="{E44E71C3-F2DB-4787-90CC-B0F1BDA00262}" scale="75" showPageBreaks="1" printArea="1" view="pageBreakPreview">
      <pane xSplit="1" ySplit="2" topLeftCell="B3" activePane="bottomRight" state="frozen"/>
      <selection pane="bottomRight" activeCell="CI1" sqref="CI1:CI1048576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1"/>
      <headerFooter alignWithMargins="0">
        <oddHeader>&amp;C&amp;"Arial,Bold"&amp;11Township of Egg Harbor
General Election - November 7, 2017
Prepared by the Office of Edward P. McGettigan, Atlantic County Clerk</oddHeader>
        <oddFooter>&amp;R&amp;11Page &amp;P</oddFooter>
      </headerFooter>
    </customSheetView>
    <customSheetView guid="{C3E722D0-E886-4AE8-B327-9CE20DCE1C01}" scale="75" showPageBreaks="1" printArea="1" view="pageBreakPreview">
      <pane xSplit="1" ySplit="5" topLeftCell="AW6" activePane="bottomRight" state="frozen"/>
      <selection pane="bottomRight" activeCell="BC25" sqref="BC25"/>
      <colBreaks count="3" manualBreakCount="3">
        <brk id="31" max="35" man="1"/>
        <brk id="57" max="35" man="1"/>
        <brk id="85" max="35" man="1"/>
      </colBreaks>
      <pageMargins left="0.75" right="0.75" top="1" bottom="1" header="0.5" footer="0.5"/>
      <pageSetup paperSize="5" scale="75" orientation="landscape" r:id="rId2"/>
      <headerFooter alignWithMargins="0">
        <oddHeader>&amp;C&amp;"Arial,Bold"&amp;11Township of Egg Harbor
General Election - November 7, 2017
Prepared by the Office of Edward P. McGettigan</oddHeader>
        <oddFooter>&amp;R&amp;11Page &amp;P</oddFooter>
      </headerFooter>
    </customSheetView>
    <customSheetView guid="{9227C430-E8A9-4621-9D47-B4F21D97F0A4}" scale="75" showPageBreaks="1" view="pageBreakPreview">
      <pane xSplit="1" ySplit="5" topLeftCell="T6" activePane="bottomRight" state="frozen"/>
      <selection pane="bottomRight" activeCell="AU32" sqref="AU32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3"/>
      <headerFooter alignWithMargins="0">
        <oddHeader>&amp;C&amp;"Arial,Bold"&amp;11Township of Egg Harbor
General Election - November 3, 2015
Prepared by the Office of Edward P. McGettigan</oddHeader>
        <oddFooter>&amp;R&amp;11Page &amp;P</oddFooter>
      </headerFooter>
    </customSheetView>
    <customSheetView guid="{7E9A004B-E820-4CD8-B4FD-2F73C3470E10}" scale="75" showPageBreaks="1" view="pageBreakPreview">
      <pane xSplit="1" ySplit="5" topLeftCell="T6" activePane="bottomRight" state="frozen"/>
      <selection pane="bottomRight" activeCell="AU32" sqref="AU32"/>
      <colBreaks count="1" manualBreakCount="1">
        <brk id="25" max="1048575" man="1"/>
      </colBreaks>
      <pageMargins left="0.75" right="0.75" top="1" bottom="1" header="0.5" footer="0.5"/>
      <pageSetup paperSize="5" scale="75" orientation="landscape" r:id="rId4"/>
      <headerFooter alignWithMargins="0">
        <oddHeader>&amp;C&amp;"Arial,Bold"&amp;11Township of Egg Harbor
General Election - November 3, 2015
Prepared by the Office of Edward P. McGettigan</oddHeader>
        <oddFooter>&amp;R&amp;11Page &amp;P</oddFooter>
      </headerFooter>
    </customSheetView>
    <customSheetView guid="{E8E8F98C-F893-4247-8892-1264000ABD26}" scale="75" showPageBreaks="1" printArea="1" view="pageBreakPreview">
      <pane xSplit="1" ySplit="5" topLeftCell="AW6" activePane="bottomRight" state="frozen"/>
      <selection pane="bottomRight" activeCell="BC25" sqref="BC25"/>
      <colBreaks count="3" manualBreakCount="3">
        <brk id="31" max="35" man="1"/>
        <brk id="57" max="35" man="1"/>
        <brk id="85" max="35" man="1"/>
      </colBreaks>
      <pageMargins left="0.75" right="0.75" top="1" bottom="1" header="0.5" footer="0.5"/>
      <pageSetup paperSize="5" scale="75" orientation="landscape" r:id="rId5"/>
      <headerFooter alignWithMargins="0">
        <oddHeader>&amp;C&amp;"Arial,Bold"&amp;11Township of Egg Harbor
General Election - November 7, 2017
Prepared by the Office of Edward P. McGettigan</oddHeader>
        <oddFooter>&amp;R&amp;11Page &amp;P</oddFooter>
      </headerFooter>
    </customSheetView>
  </customSheetViews>
  <mergeCells count="10">
    <mergeCell ref="BQ3:BS3"/>
    <mergeCell ref="BQ4:BS4"/>
    <mergeCell ref="BQ5:BS5"/>
    <mergeCell ref="BU5:BW5"/>
    <mergeCell ref="AI5:AK5"/>
    <mergeCell ref="AM5:AU5"/>
    <mergeCell ref="AW5:BO5"/>
    <mergeCell ref="C5:Q5"/>
    <mergeCell ref="S5:AC5"/>
    <mergeCell ref="AE5:AG5"/>
  </mergeCells>
  <phoneticPr fontId="0" type="noConversion"/>
  <pageMargins left="0.75" right="0.75" top="1" bottom="1" header="0.5" footer="0.5"/>
  <pageSetup paperSize="5" scale="75" orientation="landscape" r:id="rId6"/>
  <headerFooter alignWithMargins="0">
    <oddHeader>&amp;C&amp;"Arial,Bold"&amp;11Township of Egg Harbor
General Election - November 6, 2018
Prepared by the Office of Edward P. McGettigan, Atlantic County Clerk</oddHeader>
    <oddFooter>&amp;R&amp;11Page &amp;P</oddFooter>
  </headerFooter>
  <colBreaks count="3" manualBreakCount="3">
    <brk id="29" max="37" man="1"/>
    <brk id="47" max="37" man="1"/>
    <brk id="71" max="37" man="1"/>
  </colBreaks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48</vt:i4>
      </vt:variant>
    </vt:vector>
  </HeadingPairs>
  <TitlesOfParts>
    <vt:vector size="72" baseType="lpstr">
      <vt:lpstr>Lead Sheet </vt:lpstr>
      <vt:lpstr>Absecon</vt:lpstr>
      <vt:lpstr>Atlantic City</vt:lpstr>
      <vt:lpstr>Brigantine</vt:lpstr>
      <vt:lpstr>Buena Borough</vt:lpstr>
      <vt:lpstr>Buena Vista</vt:lpstr>
      <vt:lpstr>Corbin City</vt:lpstr>
      <vt:lpstr>Egg Harbor City</vt:lpstr>
      <vt:lpstr>Egg Harbor Twp</vt:lpstr>
      <vt:lpstr>Estell Manor</vt:lpstr>
      <vt:lpstr>Folsom</vt:lpstr>
      <vt:lpstr>Galloway Twp</vt:lpstr>
      <vt:lpstr>Hamilton Twp</vt:lpstr>
      <vt:lpstr>Hammonton</vt:lpstr>
      <vt:lpstr>Linwood</vt:lpstr>
      <vt:lpstr>Longport</vt:lpstr>
      <vt:lpstr>Margate</vt:lpstr>
      <vt:lpstr>Mullica</vt:lpstr>
      <vt:lpstr>Northfield</vt:lpstr>
      <vt:lpstr>Pleasantville</vt:lpstr>
      <vt:lpstr>Port Republic</vt:lpstr>
      <vt:lpstr>Somers Point</vt:lpstr>
      <vt:lpstr>Ventnor</vt:lpstr>
      <vt:lpstr>Weymouth</vt:lpstr>
      <vt:lpstr>Absecon!Print_Area</vt:lpstr>
      <vt:lpstr>'Atlantic City'!Print_Area</vt:lpstr>
      <vt:lpstr>Brigantine!Print_Area</vt:lpstr>
      <vt:lpstr>'Buena Borough'!Print_Area</vt:lpstr>
      <vt:lpstr>'Buena Vista'!Print_Area</vt:lpstr>
      <vt:lpstr>'Corbin City'!Print_Area</vt:lpstr>
      <vt:lpstr>'Egg Harbor City'!Print_Area</vt:lpstr>
      <vt:lpstr>'Egg Harbor Twp'!Print_Area</vt:lpstr>
      <vt:lpstr>'Estell Manor'!Print_Area</vt:lpstr>
      <vt:lpstr>Folsom!Print_Area</vt:lpstr>
      <vt:lpstr>'Galloway Twp'!Print_Area</vt:lpstr>
      <vt:lpstr>'Hamilton Twp'!Print_Area</vt:lpstr>
      <vt:lpstr>Hammonton!Print_Area</vt:lpstr>
      <vt:lpstr>'Lead Sheet '!Print_Area</vt:lpstr>
      <vt:lpstr>Linwood!Print_Area</vt:lpstr>
      <vt:lpstr>Longport!Print_Area</vt:lpstr>
      <vt:lpstr>Margate!Print_Area</vt:lpstr>
      <vt:lpstr>Mullica!Print_Area</vt:lpstr>
      <vt:lpstr>Northfield!Print_Area</vt:lpstr>
      <vt:lpstr>Pleasantville!Print_Area</vt:lpstr>
      <vt:lpstr>'Port Republic'!Print_Area</vt:lpstr>
      <vt:lpstr>'Somers Point'!Print_Area</vt:lpstr>
      <vt:lpstr>Ventnor!Print_Area</vt:lpstr>
      <vt:lpstr>Weymouth!Print_Area</vt:lpstr>
      <vt:lpstr>Absecon!Print_Titles</vt:lpstr>
      <vt:lpstr>'Atlantic City'!Print_Titles</vt:lpstr>
      <vt:lpstr>Brigantine!Print_Titles</vt:lpstr>
      <vt:lpstr>'Buena Borough'!Print_Titles</vt:lpstr>
      <vt:lpstr>'Buena Vista'!Print_Titles</vt:lpstr>
      <vt:lpstr>'Corbin City'!Print_Titles</vt:lpstr>
      <vt:lpstr>'Egg Harbor City'!Print_Titles</vt:lpstr>
      <vt:lpstr>'Egg Harbor Twp'!Print_Titles</vt:lpstr>
      <vt:lpstr>'Estell Manor'!Print_Titles</vt:lpstr>
      <vt:lpstr>Folsom!Print_Titles</vt:lpstr>
      <vt:lpstr>'Galloway Twp'!Print_Titles</vt:lpstr>
      <vt:lpstr>'Hamilton Twp'!Print_Titles</vt:lpstr>
      <vt:lpstr>Hammonton!Print_Titles</vt:lpstr>
      <vt:lpstr>'Lead Sheet '!Print_Titles</vt:lpstr>
      <vt:lpstr>Linwood!Print_Titles</vt:lpstr>
      <vt:lpstr>Longport!Print_Titles</vt:lpstr>
      <vt:lpstr>Margate!Print_Titles</vt:lpstr>
      <vt:lpstr>Mullica!Print_Titles</vt:lpstr>
      <vt:lpstr>Northfield!Print_Titles</vt:lpstr>
      <vt:lpstr>Pleasantville!Print_Titles</vt:lpstr>
      <vt:lpstr>'Port Republic'!Print_Titles</vt:lpstr>
      <vt:lpstr>'Somers Point'!Print_Titles</vt:lpstr>
      <vt:lpstr>Ventnor!Print_Titles</vt:lpstr>
      <vt:lpstr>Weymouth!Print_Titles</vt:lpstr>
    </vt:vector>
  </TitlesOfParts>
  <Company>Atlantic County Clerks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A. Sommers</dc:creator>
  <cp:lastModifiedBy>Sommers_Mike</cp:lastModifiedBy>
  <cp:lastPrinted>2018-11-20T20:14:24Z</cp:lastPrinted>
  <dcterms:created xsi:type="dcterms:W3CDTF">2004-04-20T14:34:27Z</dcterms:created>
  <dcterms:modified xsi:type="dcterms:W3CDTF">2020-08-12T19:58:16Z</dcterms:modified>
</cp:coreProperties>
</file>