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ECTIONS\Elections\Certification of Results\General 2021\"/>
    </mc:Choice>
  </mc:AlternateContent>
  <bookViews>
    <workbookView xWindow="0" yWindow="0" windowWidth="28800" windowHeight="12450"/>
  </bookViews>
  <sheets>
    <sheet name="Lead Sheet" sheetId="1" r:id="rId1"/>
    <sheet name="Absecon" sheetId="3" r:id="rId2"/>
    <sheet name="Atlantic City" sheetId="4" r:id="rId3"/>
    <sheet name="Brigantine" sheetId="5" r:id="rId4"/>
    <sheet name="Buena Borough" sheetId="6" r:id="rId5"/>
    <sheet name="Buena Vista Twp" sheetId="7" r:id="rId6"/>
    <sheet name="Corbin City" sheetId="8" r:id="rId7"/>
    <sheet name="Egg Harbor City" sheetId="9" r:id="rId8"/>
    <sheet name="Egg Harbor Twp" sheetId="10" r:id="rId9"/>
    <sheet name="Estell Manor" sheetId="11" r:id="rId10"/>
    <sheet name="Folsom" sheetId="12" r:id="rId11"/>
    <sheet name="Galloway Twp" sheetId="13" r:id="rId12"/>
    <sheet name="Hamilton Twp" sheetId="14" r:id="rId13"/>
    <sheet name="Hammonton" sheetId="15" r:id="rId14"/>
    <sheet name="Linwood" sheetId="16" r:id="rId15"/>
    <sheet name="Longport" sheetId="17" r:id="rId16"/>
    <sheet name="Margate" sheetId="18" r:id="rId17"/>
    <sheet name="Mullica Twp" sheetId="19" r:id="rId18"/>
    <sheet name="Northfield" sheetId="20" r:id="rId19"/>
    <sheet name="Pleasantville" sheetId="21" r:id="rId20"/>
    <sheet name="Port Republic" sheetId="22" r:id="rId21"/>
    <sheet name="Somers Point" sheetId="23" r:id="rId22"/>
    <sheet name="Ventnor" sheetId="24" r:id="rId23"/>
    <sheet name="Weymouth Twp" sheetId="25" r:id="rId24"/>
  </sheets>
  <definedNames>
    <definedName name="_xlnm.Print_Area" localSheetId="0">'Lead Sheet'!$A$1:$BR$41</definedName>
    <definedName name="_xlnm.Print_Titles" localSheetId="1">Absecon!$A:$A</definedName>
    <definedName name="_xlnm.Print_Titles" localSheetId="2">'Atlantic City'!$A:$A</definedName>
    <definedName name="_xlnm.Print_Titles" localSheetId="3">Brigantine!$A:$A</definedName>
    <definedName name="_xlnm.Print_Titles" localSheetId="4">'Buena Borough'!$A:$A</definedName>
    <definedName name="_xlnm.Print_Titles" localSheetId="5">'Buena Vista Twp'!$A:$A</definedName>
    <definedName name="_xlnm.Print_Titles" localSheetId="6">'Corbin City'!$A:$A</definedName>
    <definedName name="_xlnm.Print_Titles" localSheetId="7">'Egg Harbor City'!$A:$A</definedName>
    <definedName name="_xlnm.Print_Titles" localSheetId="8">'Egg Harbor Twp'!$A:$A</definedName>
    <definedName name="_xlnm.Print_Titles" localSheetId="9">'Estell Manor'!$A:$A</definedName>
    <definedName name="_xlnm.Print_Titles" localSheetId="10">Folsom!$A:$A</definedName>
    <definedName name="_xlnm.Print_Titles" localSheetId="11">'Galloway Twp'!$A:$A</definedName>
    <definedName name="_xlnm.Print_Titles" localSheetId="12">'Hamilton Twp'!$A:$A</definedName>
    <definedName name="_xlnm.Print_Titles" localSheetId="13">Hammonton!$A:$A</definedName>
    <definedName name="_xlnm.Print_Titles" localSheetId="0">'Lead Sheet'!$A:$A</definedName>
    <definedName name="_xlnm.Print_Titles" localSheetId="14">Linwood!$A:$A</definedName>
    <definedName name="_xlnm.Print_Titles" localSheetId="15">Longport!$A:$A</definedName>
    <definedName name="_xlnm.Print_Titles" localSheetId="16">Margate!$A:$A</definedName>
    <definedName name="_xlnm.Print_Titles" localSheetId="17">'Mullica Twp'!$A:$A</definedName>
    <definedName name="_xlnm.Print_Titles" localSheetId="18">Northfield!$A:$A</definedName>
    <definedName name="_xlnm.Print_Titles" localSheetId="19">Pleasantville!$A:$A</definedName>
    <definedName name="_xlnm.Print_Titles" localSheetId="20">'Port Republic'!$A:$A</definedName>
    <definedName name="_xlnm.Print_Titles" localSheetId="21">'Somers Point'!$A:$A</definedName>
    <definedName name="_xlnm.Print_Titles" localSheetId="22">Ventnor!$A:$A</definedName>
    <definedName name="_xlnm.Print_Titles" localSheetId="23">'Weymouth Twp'!$A:$A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" l="1"/>
  <c r="AT19" i="11" l="1"/>
  <c r="AS19" i="11"/>
  <c r="AQ19" i="11"/>
  <c r="AP19" i="11"/>
  <c r="AN19" i="11"/>
  <c r="AM19" i="11"/>
  <c r="AL19" i="11"/>
  <c r="AJ19" i="11"/>
  <c r="AI19" i="11"/>
  <c r="AG19" i="11"/>
  <c r="AF19" i="11"/>
  <c r="AD19" i="11"/>
  <c r="AC19" i="11"/>
  <c r="AB19" i="11"/>
  <c r="Z19" i="11"/>
  <c r="Y19" i="11"/>
  <c r="W19" i="11"/>
  <c r="V19" i="11"/>
  <c r="T19" i="11"/>
  <c r="S19" i="11"/>
  <c r="Q19" i="11"/>
  <c r="P19" i="11"/>
  <c r="O19" i="11"/>
  <c r="N19" i="11"/>
  <c r="M19" i="11"/>
  <c r="L19" i="11"/>
  <c r="J19" i="11"/>
  <c r="I19" i="11"/>
  <c r="G19" i="11"/>
  <c r="F19" i="11"/>
  <c r="E19" i="11"/>
  <c r="D19" i="11"/>
  <c r="C19" i="11"/>
  <c r="AN20" i="22"/>
  <c r="AM20" i="22"/>
  <c r="AK20" i="22"/>
  <c r="AJ20" i="22"/>
  <c r="AH20" i="22"/>
  <c r="AG20" i="22"/>
  <c r="AE20" i="22"/>
  <c r="AD20" i="22"/>
  <c r="AB20" i="22"/>
  <c r="AA20" i="22"/>
  <c r="Y20" i="22"/>
  <c r="X20" i="22"/>
  <c r="V20" i="22"/>
  <c r="U20" i="22"/>
  <c r="S20" i="22"/>
  <c r="R20" i="22"/>
  <c r="P20" i="22"/>
  <c r="O20" i="22"/>
  <c r="N20" i="22"/>
  <c r="M20" i="22"/>
  <c r="K20" i="22"/>
  <c r="J20" i="22"/>
  <c r="I20" i="22"/>
  <c r="G20" i="22"/>
  <c r="F20" i="22"/>
  <c r="E20" i="22"/>
  <c r="D20" i="22"/>
  <c r="C20" i="22"/>
  <c r="AN19" i="25"/>
  <c r="AK19" i="25"/>
  <c r="AE19" i="25"/>
  <c r="AB19" i="25"/>
  <c r="Z19" i="25"/>
  <c r="W19" i="25"/>
  <c r="V19" i="25"/>
  <c r="S19" i="25"/>
  <c r="M19" i="25"/>
  <c r="L19" i="25"/>
  <c r="I19" i="25"/>
  <c r="C19" i="25"/>
  <c r="AN20" i="25"/>
  <c r="AM20" i="25"/>
  <c r="AK20" i="25"/>
  <c r="AJ20" i="25"/>
  <c r="AH20" i="25"/>
  <c r="AG20" i="25"/>
  <c r="AF20" i="25"/>
  <c r="AE20" i="25"/>
  <c r="AC20" i="25"/>
  <c r="AB20" i="25"/>
  <c r="Z20" i="25"/>
  <c r="Y20" i="25"/>
  <c r="W20" i="25"/>
  <c r="V20" i="25"/>
  <c r="T20" i="25"/>
  <c r="S20" i="25"/>
  <c r="Q20" i="25"/>
  <c r="P20" i="25"/>
  <c r="O20" i="25"/>
  <c r="N20" i="25"/>
  <c r="M20" i="25"/>
  <c r="L20" i="25"/>
  <c r="J20" i="25"/>
  <c r="I20" i="25"/>
  <c r="G20" i="25"/>
  <c r="F20" i="25"/>
  <c r="E20" i="25"/>
  <c r="D20" i="25"/>
  <c r="C20" i="25"/>
  <c r="AD22" i="24"/>
  <c r="AC22" i="24"/>
  <c r="AA22" i="24"/>
  <c r="Z22" i="24"/>
  <c r="X22" i="24"/>
  <c r="W22" i="24"/>
  <c r="U22" i="24"/>
  <c r="T22" i="24"/>
  <c r="R22" i="24"/>
  <c r="Q22" i="24"/>
  <c r="Q23" i="24" s="1"/>
  <c r="O22" i="24"/>
  <c r="N22" i="24"/>
  <c r="M22" i="24"/>
  <c r="L22" i="24"/>
  <c r="J22" i="24"/>
  <c r="I22" i="24"/>
  <c r="D22" i="24"/>
  <c r="C22" i="24"/>
  <c r="AD23" i="24"/>
  <c r="AC23" i="24"/>
  <c r="AA23" i="24"/>
  <c r="Z23" i="24"/>
  <c r="X23" i="24"/>
  <c r="W23" i="24"/>
  <c r="U23" i="24"/>
  <c r="T23" i="24"/>
  <c r="R23" i="24"/>
  <c r="O23" i="24"/>
  <c r="N23" i="24"/>
  <c r="M23" i="24"/>
  <c r="L23" i="24"/>
  <c r="J23" i="24"/>
  <c r="I23" i="24"/>
  <c r="G23" i="24"/>
  <c r="F23" i="24"/>
  <c r="E23" i="24"/>
  <c r="D23" i="24"/>
  <c r="C23" i="24"/>
  <c r="AQ25" i="23"/>
  <c r="AP25" i="23"/>
  <c r="AN25" i="23"/>
  <c r="AM25" i="23"/>
  <c r="AJ25" i="23"/>
  <c r="AI25" i="23"/>
  <c r="AG25" i="23"/>
  <c r="AF25" i="23"/>
  <c r="AC25" i="23"/>
  <c r="AC26" i="23" s="1"/>
  <c r="Z25" i="23"/>
  <c r="X25" i="23"/>
  <c r="W25" i="23"/>
  <c r="U25" i="23"/>
  <c r="T25" i="23"/>
  <c r="R25" i="23"/>
  <c r="Q25" i="23"/>
  <c r="O25" i="23"/>
  <c r="N25" i="23"/>
  <c r="M25" i="23"/>
  <c r="L25" i="23"/>
  <c r="I25" i="23"/>
  <c r="D25" i="23"/>
  <c r="C25" i="23"/>
  <c r="AQ26" i="23"/>
  <c r="AP26" i="23"/>
  <c r="AN26" i="23"/>
  <c r="AM26" i="23"/>
  <c r="AK26" i="23"/>
  <c r="AJ26" i="23"/>
  <c r="AI26" i="23"/>
  <c r="AG26" i="23"/>
  <c r="AF26" i="23"/>
  <c r="AD26" i="23"/>
  <c r="AA26" i="23"/>
  <c r="Z26" i="23"/>
  <c r="X26" i="23"/>
  <c r="W26" i="23"/>
  <c r="U26" i="23"/>
  <c r="T26" i="23"/>
  <c r="R26" i="23"/>
  <c r="Q26" i="23"/>
  <c r="O26" i="23"/>
  <c r="N26" i="23"/>
  <c r="M26" i="23"/>
  <c r="L26" i="23"/>
  <c r="J26" i="23"/>
  <c r="I26" i="23"/>
  <c r="G26" i="23"/>
  <c r="F26" i="23"/>
  <c r="E26" i="23"/>
  <c r="D26" i="23"/>
  <c r="C26" i="23"/>
  <c r="AR26" i="21"/>
  <c r="AQ26" i="21"/>
  <c r="AO26" i="21"/>
  <c r="AN26" i="21"/>
  <c r="AL26" i="21"/>
  <c r="AJ26" i="21"/>
  <c r="AI26" i="21"/>
  <c r="AI27" i="21" s="1"/>
  <c r="AH26" i="21"/>
  <c r="AG26" i="21"/>
  <c r="AH27" i="21"/>
  <c r="AF26" i="21"/>
  <c r="AF27" i="21" s="1"/>
  <c r="AD26" i="21"/>
  <c r="AA26" i="21"/>
  <c r="X26" i="21"/>
  <c r="U26" i="21"/>
  <c r="T26" i="21"/>
  <c r="R26" i="21"/>
  <c r="Q26" i="21"/>
  <c r="O26" i="21"/>
  <c r="N26" i="21"/>
  <c r="M26" i="21"/>
  <c r="L26" i="21"/>
  <c r="J26" i="21"/>
  <c r="I26" i="21"/>
  <c r="G26" i="21"/>
  <c r="D26" i="21"/>
  <c r="AR27" i="21"/>
  <c r="AQ27" i="21"/>
  <c r="AO27" i="21"/>
  <c r="AN27" i="21"/>
  <c r="AL27" i="21"/>
  <c r="AJ27" i="21"/>
  <c r="AG27" i="21"/>
  <c r="AD27" i="21"/>
  <c r="AC27" i="21"/>
  <c r="AA27" i="21"/>
  <c r="Z27" i="21"/>
  <c r="X27" i="21"/>
  <c r="W27" i="21"/>
  <c r="U27" i="21"/>
  <c r="T27" i="21"/>
  <c r="R27" i="21"/>
  <c r="Q27" i="21"/>
  <c r="O27" i="21"/>
  <c r="N27" i="21"/>
  <c r="M27" i="21"/>
  <c r="L27" i="21"/>
  <c r="J27" i="21"/>
  <c r="I27" i="21"/>
  <c r="G27" i="21"/>
  <c r="F27" i="21"/>
  <c r="E27" i="21"/>
  <c r="D27" i="21"/>
  <c r="C27" i="21"/>
  <c r="AT26" i="20"/>
  <c r="AR26" i="20"/>
  <c r="AL26" i="20"/>
  <c r="AK26" i="20"/>
  <c r="AI26" i="20"/>
  <c r="T26" i="20"/>
  <c r="Q26" i="20"/>
  <c r="M26" i="20"/>
  <c r="L26" i="20"/>
  <c r="I26" i="20"/>
  <c r="C26" i="20"/>
  <c r="AU27" i="20"/>
  <c r="AT27" i="20"/>
  <c r="AR27" i="20"/>
  <c r="AQ27" i="20"/>
  <c r="AO27" i="20"/>
  <c r="AM27" i="20"/>
  <c r="AL27" i="20"/>
  <c r="AK27" i="20"/>
  <c r="AI27" i="20"/>
  <c r="AG27" i="20"/>
  <c r="AF27" i="20"/>
  <c r="AD27" i="20"/>
  <c r="AC27" i="20"/>
  <c r="AA27" i="20"/>
  <c r="Z27" i="20"/>
  <c r="X27" i="20"/>
  <c r="W27" i="20"/>
  <c r="U27" i="20"/>
  <c r="T27" i="20"/>
  <c r="R27" i="20"/>
  <c r="Q27" i="20"/>
  <c r="O27" i="20"/>
  <c r="N27" i="20"/>
  <c r="M27" i="20"/>
  <c r="L27" i="20"/>
  <c r="J27" i="20"/>
  <c r="I27" i="20"/>
  <c r="G27" i="20"/>
  <c r="F27" i="20"/>
  <c r="E27" i="20"/>
  <c r="D27" i="20"/>
  <c r="C27" i="20"/>
  <c r="AO20" i="19"/>
  <c r="AM20" i="19"/>
  <c r="AL20" i="19"/>
  <c r="AS20" i="19"/>
  <c r="AR20" i="19"/>
  <c r="AJ20" i="19"/>
  <c r="AI20" i="19"/>
  <c r="AH20" i="19"/>
  <c r="AF20" i="19"/>
  <c r="AE20" i="19"/>
  <c r="AC20" i="19"/>
  <c r="AB20" i="19"/>
  <c r="AA20" i="19"/>
  <c r="Z20" i="19"/>
  <c r="X20" i="19"/>
  <c r="U20" i="19"/>
  <c r="U21" i="19" s="1"/>
  <c r="T20" i="19"/>
  <c r="R20" i="19"/>
  <c r="Q20" i="19"/>
  <c r="O20" i="19"/>
  <c r="N20" i="19"/>
  <c r="M20" i="19"/>
  <c r="L20" i="19"/>
  <c r="J20" i="19"/>
  <c r="I20" i="19"/>
  <c r="I21" i="19" s="1"/>
  <c r="D20" i="19"/>
  <c r="C20" i="19"/>
  <c r="AS21" i="19"/>
  <c r="AR21" i="19"/>
  <c r="AP21" i="19"/>
  <c r="AO21" i="19"/>
  <c r="AM21" i="19"/>
  <c r="AL21" i="19"/>
  <c r="AJ21" i="19"/>
  <c r="AI21" i="19"/>
  <c r="AH21" i="19"/>
  <c r="AF21" i="19"/>
  <c r="AE21" i="19"/>
  <c r="AC21" i="19"/>
  <c r="AB21" i="19"/>
  <c r="AA21" i="19"/>
  <c r="Z21" i="19"/>
  <c r="X21" i="19"/>
  <c r="W21" i="19"/>
  <c r="T21" i="19"/>
  <c r="R21" i="19"/>
  <c r="Q21" i="19"/>
  <c r="O21" i="19"/>
  <c r="N21" i="19"/>
  <c r="M21" i="19"/>
  <c r="L21" i="19"/>
  <c r="J21" i="19"/>
  <c r="G21" i="19"/>
  <c r="F21" i="19"/>
  <c r="E21" i="19"/>
  <c r="D21" i="19"/>
  <c r="C21" i="19"/>
  <c r="AD21" i="18"/>
  <c r="AC21" i="18"/>
  <c r="AA21" i="18"/>
  <c r="Z21" i="18"/>
  <c r="X21" i="18"/>
  <c r="W21" i="18"/>
  <c r="U21" i="18"/>
  <c r="T21" i="18"/>
  <c r="R21" i="18"/>
  <c r="Q21" i="18"/>
  <c r="O21" i="18"/>
  <c r="N21" i="18"/>
  <c r="M21" i="18"/>
  <c r="L21" i="18"/>
  <c r="J21" i="18"/>
  <c r="I21" i="18"/>
  <c r="I22" i="18" s="1"/>
  <c r="D21" i="18"/>
  <c r="C21" i="18"/>
  <c r="AD22" i="18"/>
  <c r="AC22" i="18"/>
  <c r="AA22" i="18"/>
  <c r="Z22" i="18"/>
  <c r="X22" i="18"/>
  <c r="W22" i="18"/>
  <c r="U22" i="18"/>
  <c r="T22" i="18"/>
  <c r="R22" i="18"/>
  <c r="Q22" i="18"/>
  <c r="O22" i="18"/>
  <c r="N22" i="18"/>
  <c r="M22" i="18"/>
  <c r="L22" i="18"/>
  <c r="J22" i="18"/>
  <c r="G22" i="18"/>
  <c r="F22" i="18"/>
  <c r="E22" i="18"/>
  <c r="D22" i="18"/>
  <c r="C22" i="18"/>
  <c r="AF18" i="17"/>
  <c r="AC18" i="17"/>
  <c r="Z18" i="17"/>
  <c r="X18" i="17"/>
  <c r="W18" i="17"/>
  <c r="U18" i="17"/>
  <c r="R18" i="17"/>
  <c r="O18" i="17"/>
  <c r="N18" i="17"/>
  <c r="J18" i="17"/>
  <c r="I18" i="17"/>
  <c r="D18" i="17"/>
  <c r="AF19" i="17"/>
  <c r="AE19" i="17"/>
  <c r="AC19" i="17"/>
  <c r="AB19" i="17"/>
  <c r="Z19" i="17"/>
  <c r="X19" i="17"/>
  <c r="W19" i="17"/>
  <c r="U19" i="17"/>
  <c r="T19" i="17"/>
  <c r="N19" i="17"/>
  <c r="O19" i="17"/>
  <c r="M19" i="17"/>
  <c r="L19" i="17"/>
  <c r="J19" i="17"/>
  <c r="I19" i="17"/>
  <c r="G19" i="17"/>
  <c r="F19" i="17"/>
  <c r="E19" i="17"/>
  <c r="D19" i="17"/>
  <c r="AZ23" i="16"/>
  <c r="AY23" i="16"/>
  <c r="AW23" i="16"/>
  <c r="AV23" i="16"/>
  <c r="AT23" i="16"/>
  <c r="AS23" i="16"/>
  <c r="AQ23" i="16"/>
  <c r="AP23" i="16"/>
  <c r="AO23" i="16"/>
  <c r="AN23" i="16"/>
  <c r="AL23" i="16"/>
  <c r="AJ23" i="16"/>
  <c r="AI23" i="16"/>
  <c r="AG23" i="16"/>
  <c r="AF23" i="16"/>
  <c r="AD23" i="16"/>
  <c r="AC23" i="16"/>
  <c r="AA23" i="16"/>
  <c r="Z23" i="16"/>
  <c r="X23" i="16"/>
  <c r="W23" i="16"/>
  <c r="U23" i="16"/>
  <c r="T23" i="16"/>
  <c r="R23" i="16"/>
  <c r="Q23" i="16"/>
  <c r="O23" i="16"/>
  <c r="N23" i="16"/>
  <c r="M23" i="16"/>
  <c r="L23" i="16"/>
  <c r="C19" i="17"/>
  <c r="AZ22" i="16"/>
  <c r="AY22" i="16"/>
  <c r="AW22" i="16"/>
  <c r="AV22" i="16"/>
  <c r="AT22" i="16"/>
  <c r="AS22" i="16"/>
  <c r="AQ22" i="16"/>
  <c r="AP22" i="16"/>
  <c r="AO22" i="16"/>
  <c r="AN22" i="16"/>
  <c r="AL22" i="16"/>
  <c r="AI22" i="16"/>
  <c r="AF22" i="16"/>
  <c r="AC22" i="16"/>
  <c r="Z22" i="16"/>
  <c r="X22" i="16"/>
  <c r="W22" i="16"/>
  <c r="U22" i="16"/>
  <c r="T22" i="16"/>
  <c r="R22" i="16"/>
  <c r="Q22" i="16"/>
  <c r="O22" i="16"/>
  <c r="N22" i="16"/>
  <c r="M22" i="16"/>
  <c r="L22" i="16"/>
  <c r="J22" i="16"/>
  <c r="I22" i="16"/>
  <c r="D22" i="16"/>
  <c r="C22" i="16"/>
  <c r="AY24" i="15"/>
  <c r="AX24" i="15"/>
  <c r="AV24" i="15"/>
  <c r="AU24" i="15"/>
  <c r="AS24" i="15"/>
  <c r="AR24" i="15"/>
  <c r="AQ24" i="15"/>
  <c r="AO24" i="15"/>
  <c r="AN24" i="15"/>
  <c r="AL24" i="15"/>
  <c r="AK24" i="15"/>
  <c r="AJ24" i="15"/>
  <c r="AF24" i="15"/>
  <c r="AE24" i="15"/>
  <c r="AD24" i="15"/>
  <c r="AB24" i="15"/>
  <c r="Z24" i="15"/>
  <c r="X24" i="15"/>
  <c r="W24" i="15"/>
  <c r="U24" i="15"/>
  <c r="T24" i="15"/>
  <c r="R24" i="15"/>
  <c r="Q24" i="15"/>
  <c r="O24" i="15"/>
  <c r="N24" i="15"/>
  <c r="M24" i="15"/>
  <c r="L24" i="15"/>
  <c r="J24" i="15"/>
  <c r="I24" i="15"/>
  <c r="D24" i="15"/>
  <c r="C24" i="15"/>
  <c r="AY25" i="15"/>
  <c r="AX25" i="15"/>
  <c r="AV25" i="15"/>
  <c r="AU25" i="15"/>
  <c r="AS25" i="15"/>
  <c r="AR25" i="15"/>
  <c r="AQ25" i="15"/>
  <c r="AP25" i="15"/>
  <c r="AO25" i="15"/>
  <c r="AN25" i="15"/>
  <c r="AL25" i="15"/>
  <c r="AK25" i="15"/>
  <c r="AJ25" i="15"/>
  <c r="AI25" i="15"/>
  <c r="AH25" i="15"/>
  <c r="AG25" i="15"/>
  <c r="AF25" i="15"/>
  <c r="AE25" i="15"/>
  <c r="AD25" i="15"/>
  <c r="AB25" i="15"/>
  <c r="AA25" i="15"/>
  <c r="Z25" i="15"/>
  <c r="X25" i="15"/>
  <c r="W25" i="15"/>
  <c r="U25" i="15"/>
  <c r="T25" i="15"/>
  <c r="R25" i="15"/>
  <c r="Q25" i="15"/>
  <c r="O25" i="15"/>
  <c r="N25" i="15"/>
  <c r="M25" i="15"/>
  <c r="L25" i="15"/>
  <c r="J25" i="15"/>
  <c r="I25" i="15"/>
  <c r="G25" i="15"/>
  <c r="F25" i="15"/>
  <c r="E25" i="15"/>
  <c r="D25" i="15"/>
  <c r="C25" i="15"/>
  <c r="AU30" i="14"/>
  <c r="AT30" i="14"/>
  <c r="AR30" i="14"/>
  <c r="AQ30" i="14"/>
  <c r="AX30" i="14"/>
  <c r="AW30" i="14"/>
  <c r="AO30" i="14"/>
  <c r="AM30" i="14"/>
  <c r="AL30" i="14"/>
  <c r="AK30" i="14"/>
  <c r="AJ30" i="14"/>
  <c r="AH30" i="14"/>
  <c r="AF30" i="14"/>
  <c r="AE30" i="14"/>
  <c r="AD30" i="14"/>
  <c r="AC30" i="14"/>
  <c r="AA30" i="14"/>
  <c r="Z30" i="14"/>
  <c r="X30" i="14"/>
  <c r="W30" i="14"/>
  <c r="U30" i="14"/>
  <c r="T30" i="14"/>
  <c r="R30" i="14"/>
  <c r="Q30" i="14"/>
  <c r="O30" i="14"/>
  <c r="N30" i="14"/>
  <c r="M30" i="14"/>
  <c r="L30" i="14"/>
  <c r="J30" i="14"/>
  <c r="I30" i="14"/>
  <c r="D30" i="14"/>
  <c r="C30" i="14"/>
  <c r="AX31" i="14"/>
  <c r="AW31" i="14"/>
  <c r="AU31" i="14"/>
  <c r="AT31" i="14"/>
  <c r="AR31" i="14"/>
  <c r="AQ31" i="14"/>
  <c r="AO31" i="14"/>
  <c r="AM31" i="14"/>
  <c r="AL31" i="14"/>
  <c r="AK31" i="14"/>
  <c r="AJ31" i="14"/>
  <c r="AH31" i="14"/>
  <c r="AF31" i="14"/>
  <c r="AE31" i="14"/>
  <c r="AD31" i="14"/>
  <c r="AC31" i="14"/>
  <c r="AA31" i="14"/>
  <c r="Z31" i="14"/>
  <c r="X31" i="14"/>
  <c r="W31" i="14"/>
  <c r="U31" i="14"/>
  <c r="T31" i="14"/>
  <c r="R31" i="14"/>
  <c r="Q31" i="14"/>
  <c r="O31" i="14"/>
  <c r="N31" i="14"/>
  <c r="M31" i="14"/>
  <c r="L31" i="14"/>
  <c r="J31" i="14"/>
  <c r="I31" i="14"/>
  <c r="G31" i="14"/>
  <c r="F31" i="14"/>
  <c r="E31" i="14"/>
  <c r="D31" i="14"/>
  <c r="C31" i="14"/>
  <c r="AQ34" i="13"/>
  <c r="AP34" i="13"/>
  <c r="AN34" i="13"/>
  <c r="AM34" i="13"/>
  <c r="AK34" i="13"/>
  <c r="AJ34" i="13"/>
  <c r="AI34" i="13"/>
  <c r="AG34" i="13"/>
  <c r="AE34" i="13"/>
  <c r="AD34" i="13"/>
  <c r="AC34" i="13"/>
  <c r="AB34" i="13"/>
  <c r="AA34" i="13"/>
  <c r="Z34" i="13"/>
  <c r="Y34" i="13"/>
  <c r="X34" i="13"/>
  <c r="V34" i="13"/>
  <c r="U34" i="13"/>
  <c r="S34" i="13"/>
  <c r="R34" i="13"/>
  <c r="P34" i="13"/>
  <c r="O34" i="13"/>
  <c r="N34" i="13"/>
  <c r="M34" i="13"/>
  <c r="J34" i="13"/>
  <c r="I34" i="13"/>
  <c r="D34" i="13"/>
  <c r="C34" i="13"/>
  <c r="AQ35" i="13"/>
  <c r="AP35" i="13"/>
  <c r="AN35" i="13"/>
  <c r="AM35" i="13"/>
  <c r="AK35" i="13"/>
  <c r="AJ35" i="13"/>
  <c r="AI35" i="13"/>
  <c r="AG35" i="13"/>
  <c r="AE35" i="13"/>
  <c r="AD35" i="13"/>
  <c r="AC35" i="13"/>
  <c r="AB35" i="13"/>
  <c r="AA35" i="13"/>
  <c r="Z35" i="13"/>
  <c r="Y35" i="13"/>
  <c r="X35" i="13"/>
  <c r="V35" i="13"/>
  <c r="U35" i="13"/>
  <c r="S35" i="13"/>
  <c r="R35" i="13"/>
  <c r="P35" i="13"/>
  <c r="O35" i="13"/>
  <c r="N35" i="13"/>
  <c r="M35" i="13"/>
  <c r="K35" i="13"/>
  <c r="J35" i="13"/>
  <c r="I35" i="13"/>
  <c r="G35" i="13"/>
  <c r="F35" i="13"/>
  <c r="E35" i="13"/>
  <c r="D35" i="13"/>
  <c r="C35" i="13"/>
  <c r="AM18" i="12"/>
  <c r="AL18" i="12"/>
  <c r="AI18" i="12"/>
  <c r="AJ18" i="12"/>
  <c r="AG18" i="12"/>
  <c r="AF18" i="12"/>
  <c r="AE18" i="12"/>
  <c r="AA18" i="12"/>
  <c r="Z18" i="12"/>
  <c r="X18" i="12"/>
  <c r="W18" i="12"/>
  <c r="U18" i="12"/>
  <c r="T18" i="12"/>
  <c r="R18" i="12"/>
  <c r="Q18" i="12"/>
  <c r="O18" i="12"/>
  <c r="N18" i="12"/>
  <c r="M18" i="12"/>
  <c r="L18" i="12"/>
  <c r="J18" i="12"/>
  <c r="I18" i="12"/>
  <c r="D18" i="12"/>
  <c r="C18" i="12"/>
  <c r="AM19" i="12"/>
  <c r="AL19" i="12"/>
  <c r="AJ19" i="12"/>
  <c r="AI19" i="12"/>
  <c r="AG19" i="12"/>
  <c r="AF19" i="12"/>
  <c r="AE19" i="12"/>
  <c r="AC19" i="12"/>
  <c r="AB19" i="12"/>
  <c r="AA19" i="12"/>
  <c r="Z19" i="12"/>
  <c r="X19" i="12"/>
  <c r="W19" i="12"/>
  <c r="U19" i="12"/>
  <c r="T19" i="12"/>
  <c r="R19" i="12"/>
  <c r="Q19" i="12"/>
  <c r="O19" i="12"/>
  <c r="N19" i="12"/>
  <c r="M19" i="12"/>
  <c r="L19" i="12"/>
  <c r="J19" i="12"/>
  <c r="I19" i="12"/>
  <c r="G19" i="12"/>
  <c r="F19" i="12"/>
  <c r="E19" i="12"/>
  <c r="D19" i="12"/>
  <c r="C19" i="12"/>
  <c r="AT39" i="10"/>
  <c r="AS39" i="10"/>
  <c r="AQ39" i="10"/>
  <c r="AP39" i="10"/>
  <c r="AN39" i="10"/>
  <c r="AM39" i="10"/>
  <c r="AK39" i="10"/>
  <c r="AJ39" i="10"/>
  <c r="AI39" i="10"/>
  <c r="AH39" i="10"/>
  <c r="AF39" i="10"/>
  <c r="AE39" i="10"/>
  <c r="AD39" i="10"/>
  <c r="AC39" i="10"/>
  <c r="AA39" i="10"/>
  <c r="Z39" i="10"/>
  <c r="X39" i="10"/>
  <c r="W39" i="10"/>
  <c r="U39" i="10"/>
  <c r="T39" i="10"/>
  <c r="R39" i="10"/>
  <c r="Q39" i="10"/>
  <c r="O39" i="10"/>
  <c r="N39" i="10"/>
  <c r="M39" i="10"/>
  <c r="L39" i="10"/>
  <c r="J39" i="10"/>
  <c r="I39" i="10"/>
  <c r="D39" i="10"/>
  <c r="C39" i="10"/>
  <c r="AT40" i="10"/>
  <c r="AS40" i="10"/>
  <c r="AQ40" i="10"/>
  <c r="AP40" i="10"/>
  <c r="AN40" i="10"/>
  <c r="AM40" i="10"/>
  <c r="AK40" i="10"/>
  <c r="AJ40" i="10"/>
  <c r="AI40" i="10"/>
  <c r="AH40" i="10"/>
  <c r="AF40" i="10"/>
  <c r="AE40" i="10"/>
  <c r="AD40" i="10"/>
  <c r="AC40" i="10"/>
  <c r="AA40" i="10"/>
  <c r="Z40" i="10"/>
  <c r="X40" i="10"/>
  <c r="W40" i="10"/>
  <c r="U40" i="10"/>
  <c r="T40" i="10"/>
  <c r="R40" i="10"/>
  <c r="Q40" i="10"/>
  <c r="O40" i="10"/>
  <c r="N40" i="10"/>
  <c r="M40" i="10"/>
  <c r="L40" i="10"/>
  <c r="J40" i="10"/>
  <c r="I40" i="10"/>
  <c r="G40" i="10"/>
  <c r="F40" i="10"/>
  <c r="E40" i="10"/>
  <c r="D40" i="10"/>
  <c r="C40" i="10"/>
  <c r="AR23" i="9"/>
  <c r="AQ23" i="9"/>
  <c r="AO23" i="9"/>
  <c r="AN23" i="9"/>
  <c r="AL23" i="9"/>
  <c r="AI23" i="9"/>
  <c r="AE23" i="9"/>
  <c r="AD23" i="9"/>
  <c r="AC23" i="9"/>
  <c r="AB23" i="9"/>
  <c r="AA23" i="9"/>
  <c r="Z23" i="9"/>
  <c r="X23" i="9"/>
  <c r="W23" i="9"/>
  <c r="U23" i="9"/>
  <c r="T23" i="9"/>
  <c r="R23" i="9"/>
  <c r="Q23" i="9"/>
  <c r="O23" i="9"/>
  <c r="N23" i="9"/>
  <c r="M23" i="9"/>
  <c r="J23" i="9"/>
  <c r="D23" i="9"/>
  <c r="C23" i="9"/>
  <c r="C24" i="9" s="1"/>
  <c r="G24" i="9"/>
  <c r="F24" i="9"/>
  <c r="E24" i="9"/>
  <c r="D24" i="9"/>
  <c r="AR24" i="9"/>
  <c r="AQ24" i="9"/>
  <c r="AO24" i="9"/>
  <c r="AN24" i="9"/>
  <c r="AL24" i="9"/>
  <c r="AK24" i="9"/>
  <c r="AJ24" i="9"/>
  <c r="AI24" i="9"/>
  <c r="AG24" i="9"/>
  <c r="AE24" i="9"/>
  <c r="AD24" i="9"/>
  <c r="AC24" i="9"/>
  <c r="AB24" i="9"/>
  <c r="AA24" i="9"/>
  <c r="Z24" i="9"/>
  <c r="X24" i="9"/>
  <c r="W24" i="9"/>
  <c r="U24" i="9"/>
  <c r="T24" i="9"/>
  <c r="R24" i="9"/>
  <c r="Q24" i="9"/>
  <c r="O24" i="9"/>
  <c r="N24" i="9"/>
  <c r="M24" i="9"/>
  <c r="L24" i="9"/>
  <c r="J24" i="9"/>
  <c r="I24" i="9"/>
  <c r="AM21" i="7"/>
  <c r="AJ21" i="7"/>
  <c r="AC21" i="7"/>
  <c r="AB21" i="7"/>
  <c r="AA21" i="7"/>
  <c r="W21" i="7"/>
  <c r="T21" i="7"/>
  <c r="Q21" i="7"/>
  <c r="N21" i="7"/>
  <c r="M21" i="7"/>
  <c r="L21" i="7"/>
  <c r="I21" i="7"/>
  <c r="C21" i="7"/>
  <c r="AH19" i="6"/>
  <c r="AF19" i="6"/>
  <c r="AE19" i="6"/>
  <c r="AC19" i="6"/>
  <c r="AB19" i="6"/>
  <c r="AA19" i="6"/>
  <c r="Z19" i="6"/>
  <c r="X19" i="6"/>
  <c r="U19" i="6"/>
  <c r="R19" i="6"/>
  <c r="O19" i="6"/>
  <c r="N19" i="6"/>
  <c r="M19" i="6"/>
  <c r="L19" i="6"/>
  <c r="J19" i="6"/>
  <c r="I19" i="6"/>
  <c r="D19" i="6"/>
  <c r="C19" i="6"/>
  <c r="C21" i="5"/>
  <c r="D21" i="5"/>
  <c r="I21" i="5"/>
  <c r="J21" i="5"/>
  <c r="J22" i="5" s="1"/>
  <c r="L21" i="5"/>
  <c r="M21" i="5"/>
  <c r="N21" i="5"/>
  <c r="O21" i="5"/>
  <c r="O22" i="5" s="1"/>
  <c r="Q21" i="5"/>
  <c r="R21" i="5"/>
  <c r="T21" i="5"/>
  <c r="U21" i="5"/>
  <c r="U22" i="5" s="1"/>
  <c r="W21" i="5"/>
  <c r="Z21" i="5"/>
  <c r="AA21" i="5"/>
  <c r="AA22" i="5" s="1"/>
  <c r="AC21" i="5"/>
  <c r="AC22" i="5" s="1"/>
  <c r="AD21" i="5"/>
  <c r="AZ38" i="4"/>
  <c r="AY38" i="4"/>
  <c r="AW38" i="4"/>
  <c r="AV38" i="4"/>
  <c r="AT38" i="4"/>
  <c r="AS38" i="4"/>
  <c r="AR38" i="4"/>
  <c r="AQ38" i="4"/>
  <c r="AP38" i="4"/>
  <c r="AO38" i="4"/>
  <c r="AN38" i="4"/>
  <c r="AL38" i="4"/>
  <c r="AK38" i="4"/>
  <c r="AJ38" i="4"/>
  <c r="AI38" i="4"/>
  <c r="AH38" i="4"/>
  <c r="AG38" i="4"/>
  <c r="AE38" i="4"/>
  <c r="AD38" i="4"/>
  <c r="AB38" i="4"/>
  <c r="AA38" i="4"/>
  <c r="Z38" i="4"/>
  <c r="U38" i="4"/>
  <c r="T38" i="4"/>
  <c r="R38" i="4"/>
  <c r="Q38" i="4"/>
  <c r="O38" i="4"/>
  <c r="N38" i="4"/>
  <c r="M38" i="4"/>
  <c r="L38" i="4"/>
  <c r="J38" i="4"/>
  <c r="I38" i="4"/>
  <c r="D38" i="4"/>
  <c r="C38" i="4"/>
  <c r="AM23" i="3"/>
  <c r="AJ23" i="3"/>
  <c r="T23" i="3"/>
  <c r="Q23" i="3"/>
  <c r="O23" i="3"/>
  <c r="N23" i="3"/>
  <c r="M23" i="3"/>
  <c r="L23" i="3"/>
  <c r="J23" i="3"/>
  <c r="I23" i="3"/>
  <c r="I24" i="3" s="1"/>
  <c r="C18" i="8"/>
  <c r="AI19" i="8"/>
  <c r="AH19" i="8"/>
  <c r="AF19" i="8"/>
  <c r="AE19" i="8"/>
  <c r="AC19" i="8"/>
  <c r="AB19" i="8"/>
  <c r="Z19" i="8"/>
  <c r="Y19" i="8"/>
  <c r="W19" i="8"/>
  <c r="V19" i="8"/>
  <c r="T19" i="8"/>
  <c r="S19" i="8"/>
  <c r="Q19" i="8"/>
  <c r="P19" i="8"/>
  <c r="O19" i="8"/>
  <c r="N19" i="8"/>
  <c r="M19" i="8"/>
  <c r="L19" i="8"/>
  <c r="J19" i="8"/>
  <c r="I19" i="8"/>
  <c r="G19" i="8"/>
  <c r="F19" i="8"/>
  <c r="E19" i="8"/>
  <c r="D19" i="8"/>
  <c r="C19" i="8"/>
  <c r="AM22" i="7"/>
  <c r="AL22" i="7"/>
  <c r="AJ22" i="7"/>
  <c r="AI22" i="7"/>
  <c r="AG22" i="7"/>
  <c r="AF22" i="7"/>
  <c r="AE22" i="7"/>
  <c r="AC22" i="7"/>
  <c r="AB22" i="7"/>
  <c r="AA22" i="7"/>
  <c r="Z22" i="7"/>
  <c r="X22" i="7"/>
  <c r="W22" i="7"/>
  <c r="U22" i="7"/>
  <c r="T22" i="7"/>
  <c r="R22" i="7"/>
  <c r="Q22" i="7"/>
  <c r="O22" i="7"/>
  <c r="N22" i="7"/>
  <c r="M22" i="7"/>
  <c r="L22" i="7"/>
  <c r="G22" i="7"/>
  <c r="F22" i="7"/>
  <c r="E22" i="7"/>
  <c r="D22" i="7"/>
  <c r="J22" i="7"/>
  <c r="I22" i="7"/>
  <c r="C22" i="7"/>
  <c r="D20" i="6"/>
  <c r="AI20" i="6"/>
  <c r="AH20" i="6"/>
  <c r="AF20" i="6"/>
  <c r="AE20" i="6"/>
  <c r="AC20" i="6"/>
  <c r="AB20" i="6"/>
  <c r="AA20" i="6"/>
  <c r="Z20" i="6"/>
  <c r="X20" i="6"/>
  <c r="W20" i="6"/>
  <c r="U20" i="6"/>
  <c r="T20" i="6"/>
  <c r="R20" i="6"/>
  <c r="Q20" i="6"/>
  <c r="O20" i="6"/>
  <c r="N20" i="6"/>
  <c r="M20" i="6"/>
  <c r="L20" i="6"/>
  <c r="J20" i="6"/>
  <c r="I20" i="6"/>
  <c r="G20" i="6"/>
  <c r="F20" i="6"/>
  <c r="E20" i="6"/>
  <c r="C20" i="6"/>
  <c r="AD22" i="5"/>
  <c r="Z22" i="5"/>
  <c r="X22" i="5"/>
  <c r="W22" i="5"/>
  <c r="T22" i="5"/>
  <c r="R22" i="5"/>
  <c r="Q22" i="5"/>
  <c r="N22" i="5"/>
  <c r="M22" i="5"/>
  <c r="L22" i="5"/>
  <c r="I22" i="5"/>
  <c r="G22" i="5"/>
  <c r="F22" i="5"/>
  <c r="E22" i="5"/>
  <c r="D22" i="5"/>
  <c r="C22" i="5"/>
  <c r="AZ39" i="4"/>
  <c r="AY39" i="4"/>
  <c r="AW39" i="4"/>
  <c r="AV39" i="4"/>
  <c r="AT39" i="4"/>
  <c r="AS39" i="4"/>
  <c r="AR39" i="4"/>
  <c r="AQ39" i="4"/>
  <c r="AP39" i="4"/>
  <c r="AO39" i="4"/>
  <c r="AN39" i="4"/>
  <c r="AL39" i="4"/>
  <c r="AK39" i="4"/>
  <c r="AJ39" i="4"/>
  <c r="AI39" i="4"/>
  <c r="AH39" i="4"/>
  <c r="AG39" i="4"/>
  <c r="AE39" i="4"/>
  <c r="AD39" i="4"/>
  <c r="AC39" i="4"/>
  <c r="AB39" i="4"/>
  <c r="AA39" i="4"/>
  <c r="Z39" i="4"/>
  <c r="X39" i="4"/>
  <c r="W39" i="4"/>
  <c r="U39" i="4"/>
  <c r="T39" i="4"/>
  <c r="R39" i="4"/>
  <c r="Q39" i="4"/>
  <c r="O39" i="4"/>
  <c r="N39" i="4"/>
  <c r="M39" i="4"/>
  <c r="L39" i="4"/>
  <c r="J39" i="4"/>
  <c r="I39" i="4"/>
  <c r="G39" i="4"/>
  <c r="F39" i="4"/>
  <c r="E39" i="4"/>
  <c r="D39" i="4"/>
  <c r="C39" i="4"/>
  <c r="AM24" i="3"/>
  <c r="AL24" i="3"/>
  <c r="AJ24" i="3"/>
  <c r="AI24" i="3"/>
  <c r="AG24" i="3"/>
  <c r="AF24" i="3"/>
  <c r="AD24" i="3"/>
  <c r="AC24" i="3"/>
  <c r="AA24" i="3"/>
  <c r="Z24" i="3"/>
  <c r="X24" i="3"/>
  <c r="W24" i="3"/>
  <c r="U24" i="3"/>
  <c r="T24" i="3"/>
  <c r="R24" i="3"/>
  <c r="Q24" i="3"/>
  <c r="O24" i="3"/>
  <c r="N24" i="3"/>
  <c r="M24" i="3"/>
  <c r="L24" i="3"/>
  <c r="J24" i="3"/>
  <c r="G24" i="3"/>
  <c r="F24" i="3"/>
  <c r="E24" i="3"/>
  <c r="D24" i="3"/>
  <c r="C24" i="3"/>
  <c r="X38" i="4"/>
  <c r="W38" i="4"/>
  <c r="AM22" i="20" l="1"/>
  <c r="AG22" i="9"/>
  <c r="AG20" i="9"/>
  <c r="AG14" i="25"/>
  <c r="P9" i="13" l="1"/>
  <c r="O19" i="3" l="1"/>
  <c r="AV15" i="23"/>
  <c r="AV11" i="23"/>
  <c r="AS12" i="22"/>
  <c r="AS11" i="22"/>
  <c r="AW16" i="21"/>
  <c r="AW12" i="21"/>
  <c r="AZ16" i="20"/>
  <c r="AZ12" i="20"/>
  <c r="BE13" i="16"/>
  <c r="BE11" i="16"/>
  <c r="BC14" i="14"/>
  <c r="BC11" i="14"/>
  <c r="AY23" i="10"/>
  <c r="AY12" i="10"/>
  <c r="AY11" i="10"/>
  <c r="AI14" i="5"/>
  <c r="AI13" i="5"/>
  <c r="AI12" i="5"/>
  <c r="AI11" i="5"/>
  <c r="BE28" i="4"/>
  <c r="BE26" i="4"/>
  <c r="BE22" i="4"/>
  <c r="BE18" i="4"/>
  <c r="BE15" i="4"/>
  <c r="BE11" i="4"/>
  <c r="AS11" i="25"/>
  <c r="AI11" i="24"/>
  <c r="AK18" i="22"/>
  <c r="AJ18" i="22"/>
  <c r="AH18" i="22"/>
  <c r="AG18" i="22"/>
  <c r="AK17" i="22"/>
  <c r="AJ17" i="22"/>
  <c r="AH17" i="22"/>
  <c r="AG17" i="22"/>
  <c r="AX11" i="19"/>
  <c r="AI11" i="18"/>
  <c r="AK11" i="17"/>
  <c r="BD11" i="15"/>
  <c r="AV11" i="13"/>
  <c r="AR11" i="12"/>
  <c r="AN11" i="8"/>
  <c r="AR11" i="7"/>
  <c r="AN11" i="6"/>
  <c r="AR14" i="3" l="1"/>
  <c r="AR11" i="3"/>
  <c r="AN11" i="11" l="1"/>
  <c r="AK16" i="22" l="1"/>
  <c r="AJ16" i="22"/>
  <c r="AH16" i="22"/>
  <c r="AG16" i="22"/>
  <c r="U35" i="10" l="1"/>
  <c r="T35" i="10"/>
  <c r="R35" i="10"/>
  <c r="Q35" i="10"/>
  <c r="I19" i="3"/>
  <c r="J19" i="3"/>
  <c r="G9" i="25"/>
  <c r="Z8" i="25"/>
  <c r="Y8" i="25"/>
  <c r="W8" i="25"/>
  <c r="V8" i="25"/>
  <c r="T8" i="25"/>
  <c r="S8" i="25"/>
  <c r="Q8" i="25"/>
  <c r="P8" i="25"/>
  <c r="O8" i="25"/>
  <c r="N8" i="25"/>
  <c r="M8" i="25"/>
  <c r="L8" i="25"/>
  <c r="J8" i="25"/>
  <c r="I8" i="25"/>
  <c r="G8" i="25"/>
  <c r="F8" i="25"/>
  <c r="E8" i="25"/>
  <c r="D8" i="25"/>
  <c r="C8" i="25"/>
  <c r="Z7" i="25"/>
  <c r="Y7" i="25"/>
  <c r="W7" i="25"/>
  <c r="V7" i="25"/>
  <c r="T7" i="25"/>
  <c r="S7" i="25"/>
  <c r="Q7" i="25"/>
  <c r="P7" i="25"/>
  <c r="O7" i="25"/>
  <c r="N7" i="25"/>
  <c r="M7" i="25"/>
  <c r="L7" i="25"/>
  <c r="J7" i="25"/>
  <c r="I7" i="25"/>
  <c r="G7" i="25"/>
  <c r="F7" i="25"/>
  <c r="E7" i="25"/>
  <c r="D7" i="25"/>
  <c r="C7" i="25"/>
  <c r="Z6" i="25"/>
  <c r="Y6" i="25"/>
  <c r="W6" i="25"/>
  <c r="V6" i="25"/>
  <c r="T6" i="25"/>
  <c r="S6" i="25"/>
  <c r="Q6" i="25"/>
  <c r="P6" i="25"/>
  <c r="O6" i="25"/>
  <c r="N6" i="25"/>
  <c r="M6" i="25"/>
  <c r="L6" i="25"/>
  <c r="J6" i="25"/>
  <c r="I6" i="25"/>
  <c r="G6" i="25"/>
  <c r="F6" i="25"/>
  <c r="E6" i="25"/>
  <c r="D6" i="25"/>
  <c r="C6" i="25"/>
  <c r="P14" i="25"/>
  <c r="O14" i="25"/>
  <c r="N14" i="25"/>
  <c r="M14" i="25"/>
  <c r="L14" i="25"/>
  <c r="J14" i="25"/>
  <c r="I14" i="25"/>
  <c r="W14" i="25"/>
  <c r="V14" i="25"/>
  <c r="T14" i="25"/>
  <c r="S14" i="25"/>
  <c r="Q14" i="25"/>
  <c r="G14" i="25"/>
  <c r="F14" i="25"/>
  <c r="E14" i="25"/>
  <c r="AN14" i="25"/>
  <c r="AM14" i="25"/>
  <c r="AK14" i="25"/>
  <c r="AJ14" i="25"/>
  <c r="AH14" i="25"/>
  <c r="AF14" i="25"/>
  <c r="AE14" i="25"/>
  <c r="AC14" i="25"/>
  <c r="AB14" i="25"/>
  <c r="Z14" i="25"/>
  <c r="Y14" i="25"/>
  <c r="D14" i="25"/>
  <c r="AS14" i="25"/>
  <c r="AR14" i="25"/>
  <c r="AQ14" i="25"/>
  <c r="AP14" i="25"/>
  <c r="C14" i="25"/>
  <c r="AG11" i="24"/>
  <c r="AA17" i="24"/>
  <c r="G9" i="24"/>
  <c r="X8" i="24"/>
  <c r="W8" i="24"/>
  <c r="U8" i="24"/>
  <c r="T8" i="24"/>
  <c r="R8" i="24"/>
  <c r="Q8" i="24"/>
  <c r="O8" i="24"/>
  <c r="N8" i="24"/>
  <c r="M8" i="24"/>
  <c r="L8" i="24"/>
  <c r="J8" i="24"/>
  <c r="I8" i="24"/>
  <c r="G8" i="24"/>
  <c r="F8" i="24"/>
  <c r="E8" i="24"/>
  <c r="D8" i="24"/>
  <c r="C8" i="24"/>
  <c r="X7" i="24"/>
  <c r="W7" i="24"/>
  <c r="U7" i="24"/>
  <c r="T7" i="24"/>
  <c r="R7" i="24"/>
  <c r="Q7" i="24"/>
  <c r="O7" i="24"/>
  <c r="N7" i="24"/>
  <c r="M7" i="24"/>
  <c r="L7" i="24"/>
  <c r="J7" i="24"/>
  <c r="I7" i="24"/>
  <c r="G7" i="24"/>
  <c r="F7" i="24"/>
  <c r="E7" i="24"/>
  <c r="D7" i="24"/>
  <c r="C7" i="24"/>
  <c r="X6" i="24"/>
  <c r="W6" i="24"/>
  <c r="U6" i="24"/>
  <c r="T6" i="24"/>
  <c r="R6" i="24"/>
  <c r="Q6" i="24"/>
  <c r="O6" i="24"/>
  <c r="N6" i="24"/>
  <c r="M6" i="24"/>
  <c r="L6" i="24"/>
  <c r="J6" i="24"/>
  <c r="I6" i="24"/>
  <c r="G6" i="24"/>
  <c r="F6" i="24"/>
  <c r="E6" i="24"/>
  <c r="D6" i="24"/>
  <c r="C6" i="24"/>
  <c r="O17" i="24"/>
  <c r="N17" i="24"/>
  <c r="M17" i="24"/>
  <c r="L17" i="24"/>
  <c r="J17" i="24"/>
  <c r="I17" i="24"/>
  <c r="G17" i="24"/>
  <c r="F17" i="24"/>
  <c r="E17" i="24"/>
  <c r="D17" i="24"/>
  <c r="AD17" i="24"/>
  <c r="AC17" i="24"/>
  <c r="Z17" i="24"/>
  <c r="X17" i="24"/>
  <c r="W17" i="24"/>
  <c r="U17" i="24"/>
  <c r="T17" i="24"/>
  <c r="R17" i="24"/>
  <c r="Q17" i="24"/>
  <c r="AH17" i="24"/>
  <c r="AG17" i="24"/>
  <c r="AF17" i="24"/>
  <c r="C17" i="24"/>
  <c r="AI17" i="24"/>
  <c r="AQ21" i="23"/>
  <c r="AP21" i="23"/>
  <c r="AN21" i="23"/>
  <c r="AM21" i="23"/>
  <c r="AJ21" i="23"/>
  <c r="AI21" i="23"/>
  <c r="AG21" i="23"/>
  <c r="AF21" i="23"/>
  <c r="AA21" i="23"/>
  <c r="X21" i="23"/>
  <c r="W21" i="23"/>
  <c r="O21" i="23"/>
  <c r="N21" i="23"/>
  <c r="M21" i="23"/>
  <c r="L21" i="23"/>
  <c r="J21" i="23"/>
  <c r="I21" i="23"/>
  <c r="U21" i="23"/>
  <c r="T21" i="23"/>
  <c r="R21" i="23"/>
  <c r="Q21" i="23"/>
  <c r="D21" i="23"/>
  <c r="C21" i="23"/>
  <c r="AD20" i="23"/>
  <c r="AC20" i="23"/>
  <c r="X8" i="23"/>
  <c r="W8" i="23"/>
  <c r="U8" i="23"/>
  <c r="T8" i="23"/>
  <c r="R8" i="23"/>
  <c r="Q8" i="23"/>
  <c r="O8" i="23"/>
  <c r="N8" i="23"/>
  <c r="M8" i="23"/>
  <c r="L8" i="23"/>
  <c r="J8" i="23"/>
  <c r="I8" i="23"/>
  <c r="G8" i="23"/>
  <c r="F8" i="23"/>
  <c r="E8" i="23"/>
  <c r="D8" i="23"/>
  <c r="C8" i="23"/>
  <c r="X7" i="23"/>
  <c r="W7" i="23"/>
  <c r="U7" i="23"/>
  <c r="T7" i="23"/>
  <c r="R7" i="23"/>
  <c r="Q7" i="23"/>
  <c r="O7" i="23"/>
  <c r="N7" i="23"/>
  <c r="M7" i="23"/>
  <c r="L7" i="23"/>
  <c r="J7" i="23"/>
  <c r="I7" i="23"/>
  <c r="G7" i="23"/>
  <c r="F7" i="23"/>
  <c r="E7" i="23"/>
  <c r="D7" i="23"/>
  <c r="C7" i="23"/>
  <c r="X6" i="23"/>
  <c r="W6" i="23"/>
  <c r="U6" i="23"/>
  <c r="T6" i="23"/>
  <c r="R6" i="23"/>
  <c r="Q6" i="23"/>
  <c r="O6" i="23"/>
  <c r="N6" i="23"/>
  <c r="M6" i="23"/>
  <c r="L6" i="23"/>
  <c r="J6" i="23"/>
  <c r="I6" i="23"/>
  <c r="G6" i="23"/>
  <c r="F6" i="23"/>
  <c r="E6" i="23"/>
  <c r="D6" i="23"/>
  <c r="C6" i="23"/>
  <c r="O20" i="23"/>
  <c r="N20" i="23"/>
  <c r="M20" i="23"/>
  <c r="L20" i="23"/>
  <c r="J20" i="23"/>
  <c r="I20" i="23"/>
  <c r="G20" i="23"/>
  <c r="F20" i="23"/>
  <c r="AQ20" i="23"/>
  <c r="AP20" i="23"/>
  <c r="AN20" i="23"/>
  <c r="AM20" i="23"/>
  <c r="AK20" i="23"/>
  <c r="AJ20" i="23"/>
  <c r="AI20" i="23"/>
  <c r="AG20" i="23"/>
  <c r="AF20" i="23"/>
  <c r="AA20" i="23"/>
  <c r="Z20" i="23"/>
  <c r="X20" i="23"/>
  <c r="W20" i="23"/>
  <c r="U20" i="23"/>
  <c r="T20" i="23"/>
  <c r="R20" i="23"/>
  <c r="Q20" i="23"/>
  <c r="E20" i="23"/>
  <c r="D20" i="23"/>
  <c r="AU20" i="23"/>
  <c r="AT20" i="23"/>
  <c r="AS20" i="23"/>
  <c r="C20" i="23"/>
  <c r="AV20" i="23"/>
  <c r="AM15" i="22"/>
  <c r="AN14" i="22"/>
  <c r="AM14" i="22"/>
  <c r="AK15" i="22" l="1"/>
  <c r="AJ15" i="22"/>
  <c r="AH15" i="22"/>
  <c r="AG15" i="22"/>
  <c r="AD12" i="22"/>
  <c r="AA11" i="22"/>
  <c r="X15" i="22"/>
  <c r="P15" i="22"/>
  <c r="O15" i="22"/>
  <c r="N15" i="22"/>
  <c r="M15" i="22"/>
  <c r="J15" i="22"/>
  <c r="I15" i="22"/>
  <c r="V15" i="22"/>
  <c r="U15" i="22"/>
  <c r="S15" i="22"/>
  <c r="R15" i="22"/>
  <c r="D15" i="22"/>
  <c r="C15" i="22"/>
  <c r="G9" i="22"/>
  <c r="V8" i="22"/>
  <c r="U8" i="22"/>
  <c r="S8" i="22"/>
  <c r="R8" i="22"/>
  <c r="P8" i="22"/>
  <c r="O8" i="22"/>
  <c r="N8" i="22"/>
  <c r="M8" i="22"/>
  <c r="K8" i="22"/>
  <c r="J8" i="22"/>
  <c r="I8" i="22"/>
  <c r="G8" i="22"/>
  <c r="F8" i="22"/>
  <c r="E8" i="22"/>
  <c r="D8" i="22"/>
  <c r="C8" i="22"/>
  <c r="V7" i="22"/>
  <c r="U7" i="22"/>
  <c r="S7" i="22"/>
  <c r="R7" i="22"/>
  <c r="P7" i="22"/>
  <c r="O7" i="22"/>
  <c r="N7" i="22"/>
  <c r="M7" i="22"/>
  <c r="K7" i="22"/>
  <c r="J7" i="22"/>
  <c r="I7" i="22"/>
  <c r="G7" i="22"/>
  <c r="F7" i="22"/>
  <c r="E7" i="22"/>
  <c r="D7" i="22"/>
  <c r="C7" i="22"/>
  <c r="V6" i="22"/>
  <c r="U6" i="22"/>
  <c r="S6" i="22"/>
  <c r="R6" i="22"/>
  <c r="P6" i="22"/>
  <c r="O6" i="22"/>
  <c r="N6" i="22"/>
  <c r="M6" i="22"/>
  <c r="K6" i="22"/>
  <c r="J6" i="22"/>
  <c r="I6" i="22"/>
  <c r="G6" i="22"/>
  <c r="F6" i="22"/>
  <c r="E6" i="22"/>
  <c r="D6" i="22"/>
  <c r="C6" i="22"/>
  <c r="AB14" i="22"/>
  <c r="AA14" i="22"/>
  <c r="Y14" i="22"/>
  <c r="X14" i="22"/>
  <c r="V14" i="22"/>
  <c r="U14" i="22"/>
  <c r="S14" i="22"/>
  <c r="R14" i="22"/>
  <c r="P14" i="22"/>
  <c r="O14" i="22"/>
  <c r="N14" i="22"/>
  <c r="M14" i="22"/>
  <c r="K14" i="22"/>
  <c r="J14" i="22"/>
  <c r="I14" i="22"/>
  <c r="G14" i="22"/>
  <c r="F14" i="22"/>
  <c r="E14" i="22"/>
  <c r="D14" i="22"/>
  <c r="AK14" i="22"/>
  <c r="AJ14" i="22"/>
  <c r="AH14" i="22"/>
  <c r="AG14" i="22"/>
  <c r="AE14" i="22"/>
  <c r="AD14" i="22"/>
  <c r="AS14" i="22"/>
  <c r="AR14" i="22"/>
  <c r="AQ14" i="22"/>
  <c r="AP14" i="22"/>
  <c r="C14" i="22"/>
  <c r="AR22" i="21"/>
  <c r="AQ22" i="21"/>
  <c r="AO22" i="21"/>
  <c r="AN22" i="21"/>
  <c r="AL22" i="21"/>
  <c r="AJ22" i="21"/>
  <c r="AI22" i="21"/>
  <c r="AH22" i="21"/>
  <c r="AG22" i="21"/>
  <c r="AF22" i="21"/>
  <c r="O22" i="21"/>
  <c r="N22" i="21"/>
  <c r="M22" i="21"/>
  <c r="L22" i="21"/>
  <c r="J22" i="21"/>
  <c r="I22" i="21"/>
  <c r="U22" i="21"/>
  <c r="T22" i="21"/>
  <c r="R22" i="21"/>
  <c r="Q22" i="21"/>
  <c r="D22" i="21"/>
  <c r="C22" i="21"/>
  <c r="G10" i="21"/>
  <c r="U9" i="21"/>
  <c r="T9" i="21"/>
  <c r="R9" i="21"/>
  <c r="Q9" i="21"/>
  <c r="O9" i="21"/>
  <c r="N9" i="21"/>
  <c r="M9" i="21"/>
  <c r="L9" i="21"/>
  <c r="J9" i="21"/>
  <c r="I9" i="21"/>
  <c r="G9" i="21"/>
  <c r="F9" i="21"/>
  <c r="E9" i="21"/>
  <c r="D9" i="21"/>
  <c r="C9" i="21"/>
  <c r="U8" i="21"/>
  <c r="T8" i="21"/>
  <c r="R8" i="21"/>
  <c r="Q8" i="21"/>
  <c r="O8" i="21"/>
  <c r="N8" i="21"/>
  <c r="M8" i="21"/>
  <c r="L8" i="21"/>
  <c r="J8" i="21"/>
  <c r="I8" i="21"/>
  <c r="G8" i="21"/>
  <c r="F8" i="21"/>
  <c r="E8" i="21"/>
  <c r="D8" i="21"/>
  <c r="C8" i="21"/>
  <c r="U7" i="21"/>
  <c r="T7" i="21"/>
  <c r="R7" i="21"/>
  <c r="Q7" i="21"/>
  <c r="O7" i="21"/>
  <c r="N7" i="21"/>
  <c r="M7" i="21"/>
  <c r="L7" i="21"/>
  <c r="J7" i="21"/>
  <c r="I7" i="21"/>
  <c r="G7" i="21"/>
  <c r="F7" i="21"/>
  <c r="E7" i="21"/>
  <c r="D7" i="21"/>
  <c r="C7" i="21"/>
  <c r="U21" i="21"/>
  <c r="T21" i="21"/>
  <c r="R21" i="21"/>
  <c r="Q21" i="21"/>
  <c r="O21" i="21"/>
  <c r="N21" i="21"/>
  <c r="M21" i="21"/>
  <c r="L21" i="21"/>
  <c r="J21" i="21"/>
  <c r="I21" i="21"/>
  <c r="G21" i="21"/>
  <c r="F21" i="21"/>
  <c r="AR21" i="21"/>
  <c r="AQ21" i="21"/>
  <c r="AO21" i="21"/>
  <c r="AN21" i="21"/>
  <c r="AL21" i="21"/>
  <c r="AJ21" i="21"/>
  <c r="AI21" i="21"/>
  <c r="AH21" i="21"/>
  <c r="AG21" i="21"/>
  <c r="AF21" i="21"/>
  <c r="AD21" i="21"/>
  <c r="AC21" i="21"/>
  <c r="AA21" i="21"/>
  <c r="Z21" i="21"/>
  <c r="X21" i="21"/>
  <c r="W21" i="21"/>
  <c r="E21" i="21"/>
  <c r="D21" i="21"/>
  <c r="AW21" i="21"/>
  <c r="AV21" i="21"/>
  <c r="AU21" i="21"/>
  <c r="AT21" i="21"/>
  <c r="C21" i="21"/>
  <c r="AU22" i="20"/>
  <c r="AT22" i="20"/>
  <c r="AR22" i="20"/>
  <c r="AQ22" i="20"/>
  <c r="AO22" i="20"/>
  <c r="AL22" i="20"/>
  <c r="AK22" i="20"/>
  <c r="AI22" i="20"/>
  <c r="AA22" i="20"/>
  <c r="Z22" i="20"/>
  <c r="X22" i="20"/>
  <c r="W22" i="20"/>
  <c r="O22" i="20"/>
  <c r="N22" i="20"/>
  <c r="M22" i="20"/>
  <c r="L22" i="20"/>
  <c r="J22" i="20"/>
  <c r="I22" i="20"/>
  <c r="U22" i="20"/>
  <c r="T22" i="20"/>
  <c r="R22" i="20"/>
  <c r="Q22" i="20"/>
  <c r="D22" i="20"/>
  <c r="C22" i="20"/>
  <c r="G10" i="20"/>
  <c r="X9" i="20"/>
  <c r="W9" i="20"/>
  <c r="U9" i="20"/>
  <c r="T9" i="20"/>
  <c r="R9" i="20"/>
  <c r="Q9" i="20"/>
  <c r="O9" i="20"/>
  <c r="N9" i="20"/>
  <c r="M9" i="20"/>
  <c r="L9" i="20"/>
  <c r="J9" i="20"/>
  <c r="I9" i="20"/>
  <c r="G9" i="20"/>
  <c r="F9" i="20"/>
  <c r="E9" i="20"/>
  <c r="D9" i="20"/>
  <c r="C9" i="20"/>
  <c r="X8" i="20"/>
  <c r="W8" i="20"/>
  <c r="U8" i="20"/>
  <c r="T8" i="20"/>
  <c r="R8" i="20"/>
  <c r="Q8" i="20"/>
  <c r="O8" i="20"/>
  <c r="N8" i="20"/>
  <c r="M8" i="20"/>
  <c r="L8" i="20"/>
  <c r="J8" i="20"/>
  <c r="I8" i="20"/>
  <c r="G8" i="20"/>
  <c r="F8" i="20"/>
  <c r="E8" i="20"/>
  <c r="D8" i="20"/>
  <c r="C8" i="20"/>
  <c r="X7" i="20"/>
  <c r="W7" i="20"/>
  <c r="U7" i="20"/>
  <c r="T7" i="20"/>
  <c r="R7" i="20"/>
  <c r="Q7" i="20"/>
  <c r="O7" i="20"/>
  <c r="N7" i="20"/>
  <c r="M7" i="20"/>
  <c r="L7" i="20"/>
  <c r="J7" i="20"/>
  <c r="I7" i="20"/>
  <c r="G7" i="20"/>
  <c r="F7" i="20"/>
  <c r="E7" i="20"/>
  <c r="D7" i="20"/>
  <c r="C7" i="20"/>
  <c r="U21" i="20"/>
  <c r="T21" i="20"/>
  <c r="R21" i="20"/>
  <c r="Q21" i="20"/>
  <c r="O21" i="20"/>
  <c r="N21" i="20"/>
  <c r="M21" i="20"/>
  <c r="L21" i="20"/>
  <c r="J21" i="20"/>
  <c r="I21" i="20"/>
  <c r="G21" i="20"/>
  <c r="F21" i="20"/>
  <c r="E21" i="20"/>
  <c r="AU21" i="20"/>
  <c r="AT21" i="20"/>
  <c r="AR21" i="20"/>
  <c r="AQ21" i="20"/>
  <c r="AO21" i="20"/>
  <c r="AM21" i="20"/>
  <c r="AL21" i="20"/>
  <c r="AK21" i="20"/>
  <c r="AI21" i="20"/>
  <c r="AG21" i="20"/>
  <c r="AF21" i="20"/>
  <c r="AD21" i="20"/>
  <c r="AC21" i="20"/>
  <c r="AA21" i="20"/>
  <c r="Z21" i="20"/>
  <c r="X21" i="20"/>
  <c r="W21" i="20"/>
  <c r="D21" i="20"/>
  <c r="AY21" i="20"/>
  <c r="AX21" i="20"/>
  <c r="AW21" i="20"/>
  <c r="C21" i="20"/>
  <c r="AZ21" i="20"/>
  <c r="AX26" i="14"/>
  <c r="AW26" i="14"/>
  <c r="AX25" i="14"/>
  <c r="AW25" i="14"/>
  <c r="AS15" i="19"/>
  <c r="AR15" i="19"/>
  <c r="G9" i="19"/>
  <c r="X8" i="19"/>
  <c r="W8" i="19"/>
  <c r="U8" i="19"/>
  <c r="T8" i="19"/>
  <c r="R8" i="19"/>
  <c r="Q8" i="19"/>
  <c r="O8" i="19"/>
  <c r="N8" i="19"/>
  <c r="M8" i="19"/>
  <c r="L8" i="19"/>
  <c r="J8" i="19"/>
  <c r="I8" i="19"/>
  <c r="G8" i="19"/>
  <c r="F8" i="19"/>
  <c r="E8" i="19"/>
  <c r="D8" i="19"/>
  <c r="C8" i="19"/>
  <c r="X7" i="19"/>
  <c r="W7" i="19"/>
  <c r="U7" i="19"/>
  <c r="T7" i="19"/>
  <c r="R7" i="19"/>
  <c r="Q7" i="19"/>
  <c r="O7" i="19"/>
  <c r="N7" i="19"/>
  <c r="M7" i="19"/>
  <c r="L7" i="19"/>
  <c r="J7" i="19"/>
  <c r="I7" i="19"/>
  <c r="G7" i="19"/>
  <c r="F7" i="19"/>
  <c r="E7" i="19"/>
  <c r="D7" i="19"/>
  <c r="C7" i="19"/>
  <c r="X6" i="19"/>
  <c r="W6" i="19"/>
  <c r="U6" i="19"/>
  <c r="T6" i="19"/>
  <c r="R6" i="19"/>
  <c r="Q6" i="19"/>
  <c r="O6" i="19"/>
  <c r="N6" i="19"/>
  <c r="M6" i="19"/>
  <c r="L6" i="19"/>
  <c r="J6" i="19"/>
  <c r="I6" i="19"/>
  <c r="G6" i="19"/>
  <c r="F6" i="19"/>
  <c r="E6" i="19"/>
  <c r="D6" i="19"/>
  <c r="C6" i="19"/>
  <c r="N15" i="19"/>
  <c r="M15" i="19"/>
  <c r="L15" i="19"/>
  <c r="J15" i="19"/>
  <c r="I15" i="19"/>
  <c r="G15" i="19"/>
  <c r="F15" i="19"/>
  <c r="E15" i="19"/>
  <c r="D15" i="19"/>
  <c r="Z15" i="19"/>
  <c r="X15" i="19"/>
  <c r="W15" i="19"/>
  <c r="U15" i="19"/>
  <c r="T15" i="19"/>
  <c r="R15" i="19"/>
  <c r="Q15" i="19"/>
  <c r="AP15" i="19"/>
  <c r="AO15" i="19"/>
  <c r="AM15" i="19"/>
  <c r="AL15" i="19"/>
  <c r="AJ15" i="19"/>
  <c r="AI15" i="19"/>
  <c r="AH15" i="19"/>
  <c r="AF15" i="19"/>
  <c r="AE15" i="19"/>
  <c r="AC15" i="19"/>
  <c r="AB15" i="19"/>
  <c r="AA15" i="19"/>
  <c r="O15" i="19"/>
  <c r="AX15" i="19"/>
  <c r="AW15" i="19"/>
  <c r="AV15" i="19"/>
  <c r="AU15" i="19"/>
  <c r="C15" i="19"/>
  <c r="AC16" i="18"/>
  <c r="AA16" i="18"/>
  <c r="AD16" i="18"/>
  <c r="G9" i="18"/>
  <c r="X8" i="18"/>
  <c r="W8" i="18"/>
  <c r="U8" i="18"/>
  <c r="T8" i="18"/>
  <c r="R8" i="18"/>
  <c r="Q8" i="18"/>
  <c r="O8" i="18"/>
  <c r="N8" i="18"/>
  <c r="M8" i="18"/>
  <c r="L8" i="18"/>
  <c r="J8" i="18"/>
  <c r="I8" i="18"/>
  <c r="G8" i="18"/>
  <c r="F8" i="18"/>
  <c r="E8" i="18"/>
  <c r="D8" i="18"/>
  <c r="C8" i="18"/>
  <c r="X7" i="18"/>
  <c r="W7" i="18"/>
  <c r="U7" i="18"/>
  <c r="T7" i="18"/>
  <c r="R7" i="18"/>
  <c r="Q7" i="18"/>
  <c r="O7" i="18"/>
  <c r="N7" i="18"/>
  <c r="M7" i="18"/>
  <c r="L7" i="18"/>
  <c r="J7" i="18"/>
  <c r="I7" i="18"/>
  <c r="G7" i="18"/>
  <c r="F7" i="18"/>
  <c r="E7" i="18"/>
  <c r="D7" i="18"/>
  <c r="C7" i="18"/>
  <c r="X6" i="18"/>
  <c r="W6" i="18"/>
  <c r="U6" i="18"/>
  <c r="T6" i="18"/>
  <c r="R6" i="18"/>
  <c r="Q6" i="18"/>
  <c r="O6" i="18"/>
  <c r="N6" i="18"/>
  <c r="M6" i="18"/>
  <c r="L6" i="18"/>
  <c r="J6" i="18"/>
  <c r="I6" i="18"/>
  <c r="G6" i="18"/>
  <c r="F6" i="18"/>
  <c r="E6" i="18"/>
  <c r="D6" i="18"/>
  <c r="C6" i="18"/>
  <c r="J16" i="18"/>
  <c r="I16" i="18"/>
  <c r="G16" i="18"/>
  <c r="F16" i="18"/>
  <c r="E16" i="18"/>
  <c r="D16" i="18"/>
  <c r="R16" i="18"/>
  <c r="Q16" i="18"/>
  <c r="O16" i="18"/>
  <c r="N16" i="18"/>
  <c r="M16" i="18"/>
  <c r="L16" i="18"/>
  <c r="Z16" i="18"/>
  <c r="X16" i="18"/>
  <c r="W16" i="18"/>
  <c r="U16" i="18"/>
  <c r="T16" i="18"/>
  <c r="AH16" i="18"/>
  <c r="AG16" i="18"/>
  <c r="AF16" i="18"/>
  <c r="C16" i="18"/>
  <c r="AI16" i="18"/>
  <c r="AC13" i="17"/>
  <c r="AB13" i="17"/>
  <c r="Z13" i="17"/>
  <c r="AF13" i="17"/>
  <c r="AE13" i="17"/>
  <c r="G9" i="17"/>
  <c r="X8" i="17"/>
  <c r="W8" i="17"/>
  <c r="U8" i="17"/>
  <c r="T8" i="17"/>
  <c r="R8" i="17"/>
  <c r="Q8" i="17"/>
  <c r="O8" i="17"/>
  <c r="N8" i="17"/>
  <c r="M8" i="17"/>
  <c r="L8" i="17"/>
  <c r="J8" i="17"/>
  <c r="I8" i="17"/>
  <c r="G8" i="17"/>
  <c r="F8" i="17"/>
  <c r="E8" i="17"/>
  <c r="D8" i="17"/>
  <c r="C8" i="17"/>
  <c r="X7" i="17"/>
  <c r="W7" i="17"/>
  <c r="U7" i="17"/>
  <c r="T7" i="17"/>
  <c r="R7" i="17"/>
  <c r="Q7" i="17"/>
  <c r="O7" i="17"/>
  <c r="N7" i="17"/>
  <c r="M7" i="17"/>
  <c r="L7" i="17"/>
  <c r="J7" i="17"/>
  <c r="I7" i="17"/>
  <c r="G7" i="17"/>
  <c r="F7" i="17"/>
  <c r="E7" i="17"/>
  <c r="D7" i="17"/>
  <c r="C7" i="17"/>
  <c r="X6" i="17"/>
  <c r="W6" i="17"/>
  <c r="U6" i="17"/>
  <c r="T6" i="17"/>
  <c r="R6" i="17"/>
  <c r="Q6" i="17"/>
  <c r="O6" i="17"/>
  <c r="N6" i="17"/>
  <c r="M6" i="17"/>
  <c r="L6" i="17"/>
  <c r="J6" i="17"/>
  <c r="I6" i="17"/>
  <c r="G6" i="17"/>
  <c r="F6" i="17"/>
  <c r="E6" i="17"/>
  <c r="D6" i="17"/>
  <c r="C6" i="17"/>
  <c r="N13" i="17"/>
  <c r="M13" i="17"/>
  <c r="L13" i="17"/>
  <c r="J13" i="17"/>
  <c r="I13" i="17"/>
  <c r="O13" i="17"/>
  <c r="G13" i="17"/>
  <c r="F13" i="17"/>
  <c r="E13" i="17"/>
  <c r="Q19" i="17"/>
  <c r="X13" i="17"/>
  <c r="W13" i="17"/>
  <c r="U13" i="17"/>
  <c r="T13" i="17"/>
  <c r="R13" i="17"/>
  <c r="R19" i="17" s="1"/>
  <c r="Q13" i="17"/>
  <c r="C13" i="17"/>
  <c r="AK13" i="17"/>
  <c r="AJ13" i="17"/>
  <c r="AI13" i="17"/>
  <c r="AH13" i="17"/>
  <c r="D13" i="17"/>
  <c r="AT18" i="16"/>
  <c r="AS18" i="16"/>
  <c r="AQ18" i="16"/>
  <c r="AP18" i="16"/>
  <c r="AO18" i="16"/>
  <c r="AN18" i="16"/>
  <c r="AL18" i="16"/>
  <c r="AI18" i="16"/>
  <c r="Z18" i="16"/>
  <c r="X18" i="16"/>
  <c r="W18" i="16"/>
  <c r="O18" i="16"/>
  <c r="N18" i="16"/>
  <c r="M18" i="16"/>
  <c r="L18" i="16"/>
  <c r="J18" i="16"/>
  <c r="I18" i="16"/>
  <c r="U18" i="16"/>
  <c r="T18" i="16"/>
  <c r="R18" i="16"/>
  <c r="Q18" i="16"/>
  <c r="G18" i="16"/>
  <c r="D18" i="16"/>
  <c r="C18" i="16"/>
  <c r="AZ18" i="16"/>
  <c r="AY18" i="16"/>
  <c r="AW18" i="16"/>
  <c r="AV18" i="16"/>
  <c r="AQ17" i="16"/>
  <c r="AP17" i="16"/>
  <c r="AO17" i="16"/>
  <c r="AN17" i="16"/>
  <c r="AT17" i="16"/>
  <c r="AS17" i="16"/>
  <c r="AL17" i="16"/>
  <c r="AG17" i="16"/>
  <c r="AF17" i="16"/>
  <c r="AD17" i="16"/>
  <c r="AC17" i="16"/>
  <c r="AA17" i="16"/>
  <c r="Z17" i="16"/>
  <c r="G9" i="16"/>
  <c r="X8" i="16"/>
  <c r="W8" i="16"/>
  <c r="U8" i="16"/>
  <c r="T8" i="16"/>
  <c r="R8" i="16"/>
  <c r="Q8" i="16"/>
  <c r="O8" i="16"/>
  <c r="N8" i="16"/>
  <c r="M8" i="16"/>
  <c r="L8" i="16"/>
  <c r="J8" i="16"/>
  <c r="I8" i="16"/>
  <c r="G8" i="16"/>
  <c r="F8" i="16"/>
  <c r="E8" i="16"/>
  <c r="D8" i="16"/>
  <c r="C8" i="16"/>
  <c r="X7" i="16"/>
  <c r="W7" i="16"/>
  <c r="U7" i="16"/>
  <c r="T7" i="16"/>
  <c r="R7" i="16"/>
  <c r="Q7" i="16"/>
  <c r="O7" i="16"/>
  <c r="N7" i="16"/>
  <c r="M7" i="16"/>
  <c r="L7" i="16"/>
  <c r="J7" i="16"/>
  <c r="I7" i="16"/>
  <c r="G7" i="16"/>
  <c r="F7" i="16"/>
  <c r="E7" i="16"/>
  <c r="D7" i="16"/>
  <c r="C7" i="16"/>
  <c r="X6" i="16"/>
  <c r="W6" i="16"/>
  <c r="U6" i="16"/>
  <c r="T6" i="16"/>
  <c r="R6" i="16"/>
  <c r="Q6" i="16"/>
  <c r="O6" i="16"/>
  <c r="N6" i="16"/>
  <c r="M6" i="16"/>
  <c r="L6" i="16"/>
  <c r="J6" i="16"/>
  <c r="I6" i="16"/>
  <c r="G6" i="16"/>
  <c r="F6" i="16"/>
  <c r="E6" i="16"/>
  <c r="D6" i="16"/>
  <c r="C6" i="16"/>
  <c r="L17" i="16"/>
  <c r="J17" i="16"/>
  <c r="I17" i="16"/>
  <c r="I23" i="16" s="1"/>
  <c r="G17" i="16"/>
  <c r="G23" i="16" s="1"/>
  <c r="AW17" i="16"/>
  <c r="AV17" i="16"/>
  <c r="AJ17" i="16"/>
  <c r="AI17" i="16"/>
  <c r="X17" i="16"/>
  <c r="W17" i="16"/>
  <c r="U17" i="16"/>
  <c r="T17" i="16"/>
  <c r="R17" i="16"/>
  <c r="Q17" i="16"/>
  <c r="O17" i="16"/>
  <c r="N17" i="16"/>
  <c r="M17" i="16"/>
  <c r="F17" i="16"/>
  <c r="F23" i="16" s="1"/>
  <c r="E17" i="16"/>
  <c r="E23" i="16" s="1"/>
  <c r="C17" i="16"/>
  <c r="C23" i="16" s="1"/>
  <c r="BD17" i="16"/>
  <c r="BC17" i="16"/>
  <c r="BB17" i="16"/>
  <c r="AZ17" i="16"/>
  <c r="AY17" i="16"/>
  <c r="D17" i="16"/>
  <c r="D23" i="16" s="1"/>
  <c r="BE17" i="16"/>
  <c r="AK19" i="15"/>
  <c r="AJ19" i="15"/>
  <c r="AI19" i="15"/>
  <c r="AH19" i="15"/>
  <c r="AG19" i="15"/>
  <c r="AF19" i="15"/>
  <c r="X8" i="15"/>
  <c r="X7" i="15"/>
  <c r="X6" i="15"/>
  <c r="W8" i="15"/>
  <c r="W7" i="15"/>
  <c r="W6" i="15"/>
  <c r="U8" i="15"/>
  <c r="U7" i="15"/>
  <c r="U6" i="15"/>
  <c r="T8" i="15"/>
  <c r="T7" i="15"/>
  <c r="T6" i="15"/>
  <c r="R8" i="15"/>
  <c r="R7" i="15"/>
  <c r="R6" i="15"/>
  <c r="Q8" i="15"/>
  <c r="Q7" i="15"/>
  <c r="Q6" i="15"/>
  <c r="O8" i="15"/>
  <c r="O7" i="15"/>
  <c r="O6" i="15"/>
  <c r="N8" i="15"/>
  <c r="N7" i="15"/>
  <c r="N6" i="15"/>
  <c r="M8" i="15"/>
  <c r="M7" i="15"/>
  <c r="M6" i="15"/>
  <c r="L8" i="15"/>
  <c r="L7" i="15"/>
  <c r="L6" i="15"/>
  <c r="J8" i="15"/>
  <c r="J7" i="15"/>
  <c r="J6" i="15"/>
  <c r="I8" i="15"/>
  <c r="I7" i="15"/>
  <c r="I6" i="15"/>
  <c r="G9" i="15"/>
  <c r="G8" i="15"/>
  <c r="F8" i="15"/>
  <c r="E8" i="15"/>
  <c r="D8" i="15"/>
  <c r="C8" i="15"/>
  <c r="G7" i="15"/>
  <c r="F7" i="15"/>
  <c r="E7" i="15"/>
  <c r="D7" i="15"/>
  <c r="C7" i="15"/>
  <c r="G6" i="15"/>
  <c r="F6" i="15"/>
  <c r="E6" i="15"/>
  <c r="D6" i="15"/>
  <c r="C6" i="15"/>
  <c r="R19" i="15"/>
  <c r="Q19" i="15"/>
  <c r="O19" i="15"/>
  <c r="N19" i="15"/>
  <c r="M19" i="15"/>
  <c r="L19" i="15"/>
  <c r="J19" i="15"/>
  <c r="I19" i="15"/>
  <c r="G19" i="15"/>
  <c r="F19" i="15"/>
  <c r="E19" i="15"/>
  <c r="AV19" i="15"/>
  <c r="AU19" i="15"/>
  <c r="AS19" i="15"/>
  <c r="AR19" i="15"/>
  <c r="AQ19" i="15"/>
  <c r="AP19" i="15"/>
  <c r="AO19" i="15"/>
  <c r="AN19" i="15"/>
  <c r="AL19" i="15"/>
  <c r="AE19" i="15"/>
  <c r="AD19" i="15"/>
  <c r="AB19" i="15"/>
  <c r="AA19" i="15"/>
  <c r="Z19" i="15"/>
  <c r="X19" i="15"/>
  <c r="W19" i="15"/>
  <c r="U19" i="15"/>
  <c r="T19" i="15"/>
  <c r="C19" i="15"/>
  <c r="BD19" i="15"/>
  <c r="BC19" i="15"/>
  <c r="BB19" i="15"/>
  <c r="BA19" i="15"/>
  <c r="AY19" i="15"/>
  <c r="AX19" i="15"/>
  <c r="D19" i="15"/>
  <c r="AF26" i="14"/>
  <c r="AE26" i="14"/>
  <c r="AD26" i="14"/>
  <c r="AC26" i="14"/>
  <c r="BA11" i="14"/>
  <c r="BA25" i="14" s="1"/>
  <c r="U26" i="14"/>
  <c r="T26" i="14"/>
  <c r="R26" i="14"/>
  <c r="Q26" i="14"/>
  <c r="X26" i="14"/>
  <c r="O26" i="14"/>
  <c r="N26" i="14"/>
  <c r="M26" i="14"/>
  <c r="L26" i="14"/>
  <c r="J26" i="14"/>
  <c r="I26" i="14"/>
  <c r="F26" i="14"/>
  <c r="E26" i="14"/>
  <c r="D26" i="14"/>
  <c r="C26" i="14"/>
  <c r="AU26" i="14"/>
  <c r="AT26" i="14"/>
  <c r="AR26" i="14"/>
  <c r="AQ26" i="14"/>
  <c r="AO26" i="14"/>
  <c r="AM26" i="14"/>
  <c r="AL26" i="14"/>
  <c r="AK26" i="14"/>
  <c r="AJ26" i="14"/>
  <c r="AH26" i="14"/>
  <c r="AR25" i="14"/>
  <c r="AQ25" i="14"/>
  <c r="AK25" i="14"/>
  <c r="AL25" i="14"/>
  <c r="AJ25" i="14"/>
  <c r="AF25" i="14"/>
  <c r="AE25" i="14"/>
  <c r="AD25" i="14"/>
  <c r="AC25" i="14"/>
  <c r="AA8" i="14"/>
  <c r="AA7" i="14"/>
  <c r="AA6" i="14"/>
  <c r="Z8" i="14"/>
  <c r="Z7" i="14"/>
  <c r="Z6" i="14"/>
  <c r="X8" i="14"/>
  <c r="X7" i="14"/>
  <c r="X6" i="14"/>
  <c r="W8" i="14"/>
  <c r="W7" i="14"/>
  <c r="W6" i="14"/>
  <c r="G9" i="14"/>
  <c r="U8" i="14"/>
  <c r="T8" i="14"/>
  <c r="R8" i="14"/>
  <c r="Q8" i="14"/>
  <c r="O8" i="14"/>
  <c r="N8" i="14"/>
  <c r="M8" i="14"/>
  <c r="L8" i="14"/>
  <c r="J8" i="14"/>
  <c r="I8" i="14"/>
  <c r="G8" i="14"/>
  <c r="F8" i="14"/>
  <c r="E8" i="14"/>
  <c r="D8" i="14"/>
  <c r="C8" i="14"/>
  <c r="U7" i="14"/>
  <c r="T7" i="14"/>
  <c r="R7" i="14"/>
  <c r="Q7" i="14"/>
  <c r="O7" i="14"/>
  <c r="N7" i="14"/>
  <c r="M7" i="14"/>
  <c r="L7" i="14"/>
  <c r="J7" i="14"/>
  <c r="I7" i="14"/>
  <c r="G7" i="14"/>
  <c r="F7" i="14"/>
  <c r="E7" i="14"/>
  <c r="D7" i="14"/>
  <c r="C7" i="14"/>
  <c r="U6" i="14"/>
  <c r="T6" i="14"/>
  <c r="R6" i="14"/>
  <c r="Q6" i="14"/>
  <c r="O6" i="14"/>
  <c r="N6" i="14"/>
  <c r="M6" i="14"/>
  <c r="L6" i="14"/>
  <c r="J6" i="14"/>
  <c r="I6" i="14"/>
  <c r="G6" i="14"/>
  <c r="F6" i="14"/>
  <c r="E6" i="14"/>
  <c r="D6" i="14"/>
  <c r="C6" i="14"/>
  <c r="R25" i="14"/>
  <c r="Q25" i="14"/>
  <c r="O25" i="14"/>
  <c r="N25" i="14"/>
  <c r="M25" i="14"/>
  <c r="L25" i="14"/>
  <c r="J25" i="14"/>
  <c r="I25" i="14"/>
  <c r="G25" i="14"/>
  <c r="F25" i="14"/>
  <c r="E25" i="14"/>
  <c r="AO25" i="14"/>
  <c r="AM25" i="14"/>
  <c r="AH25" i="14"/>
  <c r="AA25" i="14"/>
  <c r="Z25" i="14"/>
  <c r="X25" i="14"/>
  <c r="W25" i="14"/>
  <c r="U25" i="14"/>
  <c r="T25" i="14"/>
  <c r="C25" i="14"/>
  <c r="BB25" i="14"/>
  <c r="AZ25" i="14"/>
  <c r="AU25" i="14"/>
  <c r="AT25" i="14"/>
  <c r="D25" i="14"/>
  <c r="BC25" i="14"/>
  <c r="AD29" i="13"/>
  <c r="AC29" i="13"/>
  <c r="AB29" i="13"/>
  <c r="AA29" i="13"/>
  <c r="Z29" i="13"/>
  <c r="Y29" i="13"/>
  <c r="V8" i="13"/>
  <c r="V7" i="13"/>
  <c r="V6" i="13"/>
  <c r="U8" i="13"/>
  <c r="U7" i="13"/>
  <c r="U6" i="13"/>
  <c r="S8" i="13"/>
  <c r="S7" i="13"/>
  <c r="S6" i="13"/>
  <c r="R8" i="13"/>
  <c r="R7" i="13"/>
  <c r="R6" i="13"/>
  <c r="P8" i="13"/>
  <c r="P7" i="13"/>
  <c r="P6" i="13"/>
  <c r="O8" i="13"/>
  <c r="O7" i="13"/>
  <c r="O6" i="13"/>
  <c r="N8" i="13"/>
  <c r="N7" i="13"/>
  <c r="N6" i="13"/>
  <c r="M8" i="13"/>
  <c r="M7" i="13"/>
  <c r="M6" i="13"/>
  <c r="K8" i="13"/>
  <c r="K7" i="13"/>
  <c r="K6" i="13"/>
  <c r="J8" i="13"/>
  <c r="J7" i="13"/>
  <c r="J6" i="13"/>
  <c r="I8" i="13"/>
  <c r="I7" i="13"/>
  <c r="I6" i="13"/>
  <c r="P29" i="13"/>
  <c r="O29" i="13"/>
  <c r="N29" i="13"/>
  <c r="M29" i="13"/>
  <c r="K29" i="13"/>
  <c r="J29" i="13"/>
  <c r="G9" i="13"/>
  <c r="G8" i="13"/>
  <c r="F8" i="13"/>
  <c r="E8" i="13"/>
  <c r="D8" i="13"/>
  <c r="C8" i="13"/>
  <c r="G7" i="13"/>
  <c r="F7" i="13"/>
  <c r="E7" i="13"/>
  <c r="D7" i="13"/>
  <c r="C7" i="13"/>
  <c r="G6" i="13"/>
  <c r="F6" i="13"/>
  <c r="E6" i="13"/>
  <c r="D6" i="13"/>
  <c r="C6" i="13"/>
  <c r="I29" i="13"/>
  <c r="G29" i="13"/>
  <c r="F29" i="13"/>
  <c r="AN29" i="13"/>
  <c r="AM29" i="13"/>
  <c r="AK29" i="13"/>
  <c r="AJ29" i="13"/>
  <c r="AI29" i="13"/>
  <c r="AG29" i="13"/>
  <c r="AE29" i="13"/>
  <c r="X29" i="13"/>
  <c r="V29" i="13"/>
  <c r="U29" i="13"/>
  <c r="S29" i="13"/>
  <c r="R29" i="13"/>
  <c r="E29" i="13"/>
  <c r="C29" i="13"/>
  <c r="AV29" i="13"/>
  <c r="AU29" i="13"/>
  <c r="AT29" i="13"/>
  <c r="AS29" i="13"/>
  <c r="AQ29" i="13"/>
  <c r="AP29" i="13"/>
  <c r="D29" i="13"/>
  <c r="J23" i="16" l="1"/>
  <c r="AL13" i="12" l="1"/>
  <c r="AF13" i="12"/>
  <c r="AE13" i="12"/>
  <c r="AI13" i="12"/>
  <c r="AG13" i="12"/>
  <c r="G9" i="12"/>
  <c r="X8" i="12"/>
  <c r="W8" i="12"/>
  <c r="U8" i="12"/>
  <c r="T8" i="12"/>
  <c r="R8" i="12"/>
  <c r="Q8" i="12"/>
  <c r="O8" i="12"/>
  <c r="N8" i="12"/>
  <c r="M8" i="12"/>
  <c r="L8" i="12"/>
  <c r="J8" i="12"/>
  <c r="I8" i="12"/>
  <c r="G8" i="12"/>
  <c r="F8" i="12"/>
  <c r="E8" i="12"/>
  <c r="D8" i="12"/>
  <c r="C8" i="12"/>
  <c r="X7" i="12"/>
  <c r="W7" i="12"/>
  <c r="U7" i="12"/>
  <c r="T7" i="12"/>
  <c r="R7" i="12"/>
  <c r="Q7" i="12"/>
  <c r="O7" i="12"/>
  <c r="N7" i="12"/>
  <c r="M7" i="12"/>
  <c r="L7" i="12"/>
  <c r="J7" i="12"/>
  <c r="I7" i="12"/>
  <c r="G7" i="12"/>
  <c r="F7" i="12"/>
  <c r="E7" i="12"/>
  <c r="D7" i="12"/>
  <c r="C7" i="12"/>
  <c r="X6" i="12"/>
  <c r="W6" i="12"/>
  <c r="U6" i="12"/>
  <c r="T6" i="12"/>
  <c r="R6" i="12"/>
  <c r="Q6" i="12"/>
  <c r="O6" i="12"/>
  <c r="N6" i="12"/>
  <c r="M6" i="12"/>
  <c r="L6" i="12"/>
  <c r="J6" i="12"/>
  <c r="I6" i="12"/>
  <c r="G6" i="12"/>
  <c r="F6" i="12"/>
  <c r="E6" i="12"/>
  <c r="D6" i="12"/>
  <c r="C6" i="12"/>
  <c r="N13" i="12"/>
  <c r="M13" i="12"/>
  <c r="L13" i="12"/>
  <c r="J13" i="12"/>
  <c r="I13" i="12"/>
  <c r="G13" i="12"/>
  <c r="F13" i="12"/>
  <c r="E13" i="12"/>
  <c r="AC13" i="12"/>
  <c r="AB13" i="12"/>
  <c r="AA13" i="12"/>
  <c r="Z13" i="12"/>
  <c r="X13" i="12"/>
  <c r="W13" i="12"/>
  <c r="U13" i="12"/>
  <c r="T13" i="12"/>
  <c r="R13" i="12"/>
  <c r="Q13" i="12"/>
  <c r="O13" i="12"/>
  <c r="D13" i="12"/>
  <c r="AR13" i="12"/>
  <c r="AQ13" i="12"/>
  <c r="AP13" i="12"/>
  <c r="AO13" i="12"/>
  <c r="AM13" i="12"/>
  <c r="AJ13" i="12"/>
  <c r="C13" i="12"/>
  <c r="AP13" i="11"/>
  <c r="AN13" i="11"/>
  <c r="AM13" i="11"/>
  <c r="AL13" i="11"/>
  <c r="AG13" i="11"/>
  <c r="AF13" i="11"/>
  <c r="G9" i="11"/>
  <c r="Z8" i="11"/>
  <c r="Y8" i="11"/>
  <c r="W8" i="11"/>
  <c r="V8" i="11"/>
  <c r="T8" i="11"/>
  <c r="S8" i="11"/>
  <c r="Q8" i="11"/>
  <c r="P8" i="11"/>
  <c r="O8" i="11"/>
  <c r="N8" i="11"/>
  <c r="M8" i="11"/>
  <c r="L8" i="11"/>
  <c r="J8" i="11"/>
  <c r="I8" i="11"/>
  <c r="G8" i="11"/>
  <c r="F8" i="11"/>
  <c r="E8" i="11"/>
  <c r="D8" i="11"/>
  <c r="C8" i="11"/>
  <c r="Z7" i="11"/>
  <c r="Y7" i="11"/>
  <c r="W7" i="11"/>
  <c r="V7" i="11"/>
  <c r="T7" i="11"/>
  <c r="S7" i="11"/>
  <c r="Q7" i="11"/>
  <c r="P7" i="11"/>
  <c r="O7" i="11"/>
  <c r="N7" i="11"/>
  <c r="M7" i="11"/>
  <c r="L7" i="11"/>
  <c r="J7" i="11"/>
  <c r="I7" i="11"/>
  <c r="G7" i="11"/>
  <c r="F7" i="11"/>
  <c r="E7" i="11"/>
  <c r="D7" i="11"/>
  <c r="C7" i="11"/>
  <c r="Z6" i="11"/>
  <c r="Y6" i="11"/>
  <c r="W6" i="11"/>
  <c r="V6" i="11"/>
  <c r="T6" i="11"/>
  <c r="S6" i="11"/>
  <c r="Q6" i="11"/>
  <c r="P6" i="11"/>
  <c r="O6" i="11"/>
  <c r="N6" i="11"/>
  <c r="M6" i="11"/>
  <c r="L6" i="11"/>
  <c r="J6" i="11"/>
  <c r="I6" i="11"/>
  <c r="G6" i="11"/>
  <c r="F6" i="11"/>
  <c r="E6" i="11"/>
  <c r="D6" i="11"/>
  <c r="C6" i="11"/>
  <c r="O13" i="11"/>
  <c r="N13" i="11"/>
  <c r="M13" i="11"/>
  <c r="L13" i="11"/>
  <c r="J13" i="11"/>
  <c r="I13" i="11"/>
  <c r="G13" i="11"/>
  <c r="F13" i="11"/>
  <c r="E13" i="11"/>
  <c r="D13" i="11"/>
  <c r="AQ13" i="11"/>
  <c r="AJ13" i="11"/>
  <c r="AI13" i="11"/>
  <c r="AD13" i="11"/>
  <c r="AC13" i="11"/>
  <c r="AB13" i="11"/>
  <c r="Z13" i="11"/>
  <c r="Y13" i="11"/>
  <c r="W13" i="11"/>
  <c r="V13" i="11"/>
  <c r="T13" i="11"/>
  <c r="S13" i="11"/>
  <c r="Q13" i="11"/>
  <c r="P13" i="11"/>
  <c r="AY13" i="11"/>
  <c r="AX13" i="11"/>
  <c r="AW13" i="11"/>
  <c r="AV13" i="11"/>
  <c r="AT13" i="11"/>
  <c r="AS13" i="11"/>
  <c r="C13" i="11"/>
  <c r="AW12" i="10"/>
  <c r="AW11" i="10"/>
  <c r="AW23" i="10"/>
  <c r="AT35" i="10"/>
  <c r="AS35" i="10"/>
  <c r="AQ35" i="10"/>
  <c r="AP35" i="10"/>
  <c r="AN35" i="10"/>
  <c r="AM35" i="10"/>
  <c r="AK35" i="10"/>
  <c r="AJ35" i="10"/>
  <c r="AI35" i="10"/>
  <c r="AH35" i="10"/>
  <c r="AF35" i="10"/>
  <c r="AE35" i="10"/>
  <c r="AD35" i="10"/>
  <c r="AC35" i="10"/>
  <c r="X35" i="10"/>
  <c r="W35" i="10"/>
  <c r="J35" i="10"/>
  <c r="I35" i="10"/>
  <c r="O35" i="10"/>
  <c r="N35" i="10"/>
  <c r="M35" i="10"/>
  <c r="L35" i="10"/>
  <c r="D35" i="10"/>
  <c r="C35" i="10"/>
  <c r="AQ34" i="10"/>
  <c r="AP34" i="10"/>
  <c r="AJ34" i="10"/>
  <c r="AI34" i="10"/>
  <c r="AH34" i="10"/>
  <c r="AM34" i="10"/>
  <c r="AK34" i="10"/>
  <c r="AA8" i="10"/>
  <c r="AA7" i="10"/>
  <c r="AA6" i="10"/>
  <c r="Z8" i="10"/>
  <c r="Z7" i="10"/>
  <c r="Z6" i="10"/>
  <c r="AD34" i="10"/>
  <c r="AC34" i="10"/>
  <c r="AA34" i="10"/>
  <c r="Z34" i="10"/>
  <c r="G9" i="10"/>
  <c r="X8" i="10"/>
  <c r="W8" i="10"/>
  <c r="U8" i="10"/>
  <c r="T8" i="10"/>
  <c r="R8" i="10"/>
  <c r="Q8" i="10"/>
  <c r="O8" i="10"/>
  <c r="N8" i="10"/>
  <c r="M8" i="10"/>
  <c r="L8" i="10"/>
  <c r="J8" i="10"/>
  <c r="I8" i="10"/>
  <c r="G8" i="10"/>
  <c r="F8" i="10"/>
  <c r="E8" i="10"/>
  <c r="D8" i="10"/>
  <c r="C8" i="10"/>
  <c r="X7" i="10"/>
  <c r="W7" i="10"/>
  <c r="U7" i="10"/>
  <c r="T7" i="10"/>
  <c r="R7" i="10"/>
  <c r="Q7" i="10"/>
  <c r="O7" i="10"/>
  <c r="N7" i="10"/>
  <c r="M7" i="10"/>
  <c r="L7" i="10"/>
  <c r="J7" i="10"/>
  <c r="I7" i="10"/>
  <c r="G7" i="10"/>
  <c r="F7" i="10"/>
  <c r="E7" i="10"/>
  <c r="D7" i="10"/>
  <c r="C7" i="10"/>
  <c r="X6" i="10"/>
  <c r="W6" i="10"/>
  <c r="U6" i="10"/>
  <c r="T6" i="10"/>
  <c r="R6" i="10"/>
  <c r="Q6" i="10"/>
  <c r="O6" i="10"/>
  <c r="N6" i="10"/>
  <c r="M6" i="10"/>
  <c r="L6" i="10"/>
  <c r="J6" i="10"/>
  <c r="I6" i="10"/>
  <c r="G6" i="10"/>
  <c r="F6" i="10"/>
  <c r="E6" i="10"/>
  <c r="D6" i="10"/>
  <c r="C6" i="10"/>
  <c r="N34" i="10"/>
  <c r="M34" i="10"/>
  <c r="L34" i="10"/>
  <c r="J34" i="10"/>
  <c r="I34" i="10"/>
  <c r="G34" i="10"/>
  <c r="AT34" i="10"/>
  <c r="AS34" i="10"/>
  <c r="AN34" i="10"/>
  <c r="AF34" i="10"/>
  <c r="AE34" i="10"/>
  <c r="X34" i="10"/>
  <c r="W34" i="10"/>
  <c r="U34" i="10"/>
  <c r="T34" i="10"/>
  <c r="R34" i="10"/>
  <c r="Q34" i="10"/>
  <c r="O34" i="10"/>
  <c r="E34" i="10"/>
  <c r="D34" i="10"/>
  <c r="C34" i="10"/>
  <c r="AX34" i="10"/>
  <c r="AW34" i="10"/>
  <c r="AV34" i="10"/>
  <c r="F34" i="10"/>
  <c r="AL19" i="9"/>
  <c r="AK19" i="9"/>
  <c r="AJ19" i="9"/>
  <c r="AI19" i="9"/>
  <c r="AE19" i="9"/>
  <c r="AD19" i="9"/>
  <c r="AC19" i="9"/>
  <c r="AB19" i="9"/>
  <c r="AA19" i="9"/>
  <c r="Z19" i="9"/>
  <c r="X19" i="9"/>
  <c r="W19" i="9"/>
  <c r="U19" i="9"/>
  <c r="T19" i="9"/>
  <c r="R19" i="9"/>
  <c r="Q19" i="9"/>
  <c r="J19" i="9"/>
  <c r="I19" i="9"/>
  <c r="O19" i="9"/>
  <c r="N19" i="9"/>
  <c r="M19" i="9"/>
  <c r="L19" i="9"/>
  <c r="D19" i="9"/>
  <c r="C19" i="9"/>
  <c r="AR19" i="9"/>
  <c r="AQ19" i="9"/>
  <c r="AO19" i="9"/>
  <c r="AN19" i="9"/>
  <c r="AO18" i="9"/>
  <c r="AN18" i="9"/>
  <c r="AQ18" i="9"/>
  <c r="AI18" i="9"/>
  <c r="AG18" i="9"/>
  <c r="AE18" i="9"/>
  <c r="AD18" i="9"/>
  <c r="AC18" i="9"/>
  <c r="AB18" i="9"/>
  <c r="AA18" i="9"/>
  <c r="Z18" i="9"/>
  <c r="G9" i="9"/>
  <c r="X8" i="9"/>
  <c r="W8" i="9"/>
  <c r="U8" i="9"/>
  <c r="T8" i="9"/>
  <c r="R8" i="9"/>
  <c r="Q8" i="9"/>
  <c r="O8" i="9"/>
  <c r="N8" i="9"/>
  <c r="M8" i="9"/>
  <c r="L8" i="9"/>
  <c r="J8" i="9"/>
  <c r="I8" i="9"/>
  <c r="G8" i="9"/>
  <c r="F8" i="9"/>
  <c r="E8" i="9"/>
  <c r="D8" i="9"/>
  <c r="C8" i="9"/>
  <c r="X7" i="9"/>
  <c r="W7" i="9"/>
  <c r="U7" i="9"/>
  <c r="T7" i="9"/>
  <c r="R7" i="9"/>
  <c r="Q7" i="9"/>
  <c r="O7" i="9"/>
  <c r="N7" i="9"/>
  <c r="M7" i="9"/>
  <c r="L7" i="9"/>
  <c r="J7" i="9"/>
  <c r="I7" i="9"/>
  <c r="G7" i="9"/>
  <c r="F7" i="9"/>
  <c r="E7" i="9"/>
  <c r="D7" i="9"/>
  <c r="C7" i="9"/>
  <c r="X6" i="9"/>
  <c r="W6" i="9"/>
  <c r="U6" i="9"/>
  <c r="T6" i="9"/>
  <c r="R6" i="9"/>
  <c r="Q6" i="9"/>
  <c r="O6" i="9"/>
  <c r="N6" i="9"/>
  <c r="M6" i="9"/>
  <c r="L6" i="9"/>
  <c r="J6" i="9"/>
  <c r="I6" i="9"/>
  <c r="G6" i="9"/>
  <c r="F6" i="9"/>
  <c r="E6" i="9"/>
  <c r="D6" i="9"/>
  <c r="C6" i="9"/>
  <c r="L18" i="9"/>
  <c r="J18" i="9"/>
  <c r="I18" i="9"/>
  <c r="G18" i="9"/>
  <c r="F18" i="9"/>
  <c r="E18" i="9"/>
  <c r="D18" i="9"/>
  <c r="AV18" i="9"/>
  <c r="AU18" i="9"/>
  <c r="AT18" i="9"/>
  <c r="AR18" i="9"/>
  <c r="AL18" i="9"/>
  <c r="AK18" i="9"/>
  <c r="AJ18" i="9"/>
  <c r="X18" i="9"/>
  <c r="W18" i="9"/>
  <c r="U18" i="9"/>
  <c r="T18" i="9"/>
  <c r="R18" i="9"/>
  <c r="Q18" i="9"/>
  <c r="O18" i="9"/>
  <c r="N18" i="9"/>
  <c r="M18" i="9"/>
  <c r="C18" i="9"/>
  <c r="Q13" i="8"/>
  <c r="M13" i="8"/>
  <c r="J13" i="8"/>
  <c r="AF13" i="8"/>
  <c r="Z8" i="8"/>
  <c r="Z7" i="8"/>
  <c r="Z6" i="8"/>
  <c r="Y8" i="8"/>
  <c r="Y7" i="8"/>
  <c r="Y6" i="8"/>
  <c r="W8" i="8"/>
  <c r="W7" i="8"/>
  <c r="W6" i="8"/>
  <c r="V8" i="8"/>
  <c r="V7" i="8"/>
  <c r="V6" i="8"/>
  <c r="T8" i="8"/>
  <c r="T7" i="8"/>
  <c r="T6" i="8"/>
  <c r="S8" i="8"/>
  <c r="S7" i="8"/>
  <c r="S6" i="8"/>
  <c r="Z13" i="8"/>
  <c r="Y13" i="8"/>
  <c r="W13" i="8"/>
  <c r="V13" i="8"/>
  <c r="Q8" i="8"/>
  <c r="Q7" i="8"/>
  <c r="Q6" i="8"/>
  <c r="P8" i="8"/>
  <c r="P7" i="8"/>
  <c r="P6" i="8"/>
  <c r="O8" i="8"/>
  <c r="O7" i="8"/>
  <c r="O6" i="8"/>
  <c r="N8" i="8"/>
  <c r="N7" i="8"/>
  <c r="N6" i="8"/>
  <c r="M8" i="8"/>
  <c r="M7" i="8"/>
  <c r="M6" i="8"/>
  <c r="L8" i="8"/>
  <c r="L7" i="8"/>
  <c r="L6" i="8"/>
  <c r="J8" i="8"/>
  <c r="J7" i="8"/>
  <c r="J6" i="8"/>
  <c r="I8" i="8"/>
  <c r="I7" i="8"/>
  <c r="I6" i="8"/>
  <c r="G9" i="8"/>
  <c r="G8" i="8"/>
  <c r="F8" i="8"/>
  <c r="E8" i="8"/>
  <c r="D8" i="8"/>
  <c r="C8" i="8"/>
  <c r="G7" i="8"/>
  <c r="F7" i="8"/>
  <c r="E7" i="8"/>
  <c r="D7" i="8"/>
  <c r="C7" i="8"/>
  <c r="G6" i="8"/>
  <c r="F6" i="8"/>
  <c r="E6" i="8"/>
  <c r="D6" i="8"/>
  <c r="C6" i="8"/>
  <c r="N13" i="8"/>
  <c r="L13" i="8"/>
  <c r="I13" i="8"/>
  <c r="G13" i="8"/>
  <c r="F13" i="8"/>
  <c r="AI13" i="8"/>
  <c r="AH13" i="8"/>
  <c r="AE13" i="8"/>
  <c r="AC13" i="8"/>
  <c r="AB13" i="8"/>
  <c r="T13" i="8"/>
  <c r="S13" i="8"/>
  <c r="P13" i="8"/>
  <c r="O13" i="8"/>
  <c r="D13" i="8"/>
  <c r="C13" i="8"/>
  <c r="AN13" i="8"/>
  <c r="AM13" i="8"/>
  <c r="AL13" i="8"/>
  <c r="AK13" i="8"/>
  <c r="E13" i="8"/>
  <c r="AF16" i="7"/>
  <c r="AE16" i="7"/>
  <c r="AC16" i="7"/>
  <c r="AB16" i="7"/>
  <c r="AA16" i="7"/>
  <c r="Z16" i="7"/>
  <c r="AJ16" i="7"/>
  <c r="AI16" i="7"/>
  <c r="AG16" i="7"/>
  <c r="AL16" i="7"/>
  <c r="G9" i="7"/>
  <c r="X8" i="7"/>
  <c r="W8" i="7"/>
  <c r="U8" i="7"/>
  <c r="T8" i="7"/>
  <c r="R8" i="7"/>
  <c r="Q8" i="7"/>
  <c r="O8" i="7"/>
  <c r="N8" i="7"/>
  <c r="M8" i="7"/>
  <c r="L8" i="7"/>
  <c r="J8" i="7"/>
  <c r="I8" i="7"/>
  <c r="G8" i="7"/>
  <c r="F8" i="7"/>
  <c r="E8" i="7"/>
  <c r="D8" i="7"/>
  <c r="C8" i="7"/>
  <c r="X7" i="7"/>
  <c r="W7" i="7"/>
  <c r="U7" i="7"/>
  <c r="T7" i="7"/>
  <c r="R7" i="7"/>
  <c r="Q7" i="7"/>
  <c r="O7" i="7"/>
  <c r="N7" i="7"/>
  <c r="M7" i="7"/>
  <c r="L7" i="7"/>
  <c r="J7" i="7"/>
  <c r="I7" i="7"/>
  <c r="G7" i="7"/>
  <c r="F7" i="7"/>
  <c r="E7" i="7"/>
  <c r="D7" i="7"/>
  <c r="C7" i="7"/>
  <c r="X6" i="7"/>
  <c r="W6" i="7"/>
  <c r="U6" i="7"/>
  <c r="T6" i="7"/>
  <c r="R6" i="7"/>
  <c r="Q6" i="7"/>
  <c r="O6" i="7"/>
  <c r="N6" i="7"/>
  <c r="M6" i="7"/>
  <c r="L6" i="7"/>
  <c r="J6" i="7"/>
  <c r="I6" i="7"/>
  <c r="G6" i="7"/>
  <c r="F6" i="7"/>
  <c r="E6" i="7"/>
  <c r="D6" i="7"/>
  <c r="C6" i="7"/>
  <c r="J16" i="7"/>
  <c r="I16" i="7"/>
  <c r="G16" i="7"/>
  <c r="F16" i="7"/>
  <c r="E16" i="7"/>
  <c r="AQ16" i="7"/>
  <c r="AP16" i="7"/>
  <c r="AO16" i="7"/>
  <c r="AM16" i="7"/>
  <c r="X16" i="7"/>
  <c r="W16" i="7"/>
  <c r="U16" i="7"/>
  <c r="T16" i="7"/>
  <c r="R16" i="7"/>
  <c r="Q16" i="7"/>
  <c r="O16" i="7"/>
  <c r="N16" i="7"/>
  <c r="M16" i="7"/>
  <c r="L16" i="7"/>
  <c r="D16" i="7"/>
  <c r="C16" i="7"/>
  <c r="AR16" i="7"/>
  <c r="AF14" i="6"/>
  <c r="AE14" i="6"/>
  <c r="AI14" i="6"/>
  <c r="AH14" i="6"/>
  <c r="AA14" i="6"/>
  <c r="Z14" i="6"/>
  <c r="X14" i="6"/>
  <c r="X8" i="6"/>
  <c r="X7" i="6"/>
  <c r="X6" i="6"/>
  <c r="W8" i="6"/>
  <c r="W7" i="6"/>
  <c r="W6" i="6"/>
  <c r="G9" i="6"/>
  <c r="U8" i="6"/>
  <c r="T8" i="6"/>
  <c r="R8" i="6"/>
  <c r="Q8" i="6"/>
  <c r="O8" i="6"/>
  <c r="N8" i="6"/>
  <c r="M8" i="6"/>
  <c r="L8" i="6"/>
  <c r="J8" i="6"/>
  <c r="I8" i="6"/>
  <c r="G8" i="6"/>
  <c r="F8" i="6"/>
  <c r="E8" i="6"/>
  <c r="D8" i="6"/>
  <c r="C8" i="6"/>
  <c r="U7" i="6"/>
  <c r="T7" i="6"/>
  <c r="R7" i="6"/>
  <c r="Q7" i="6"/>
  <c r="O7" i="6"/>
  <c r="N7" i="6"/>
  <c r="M7" i="6"/>
  <c r="L7" i="6"/>
  <c r="J7" i="6"/>
  <c r="I7" i="6"/>
  <c r="G7" i="6"/>
  <c r="F7" i="6"/>
  <c r="E7" i="6"/>
  <c r="D7" i="6"/>
  <c r="C7" i="6"/>
  <c r="U6" i="6"/>
  <c r="T6" i="6"/>
  <c r="R6" i="6"/>
  <c r="Q6" i="6"/>
  <c r="O6" i="6"/>
  <c r="N6" i="6"/>
  <c r="M6" i="6"/>
  <c r="L6" i="6"/>
  <c r="J6" i="6"/>
  <c r="I6" i="6"/>
  <c r="G6" i="6"/>
  <c r="F6" i="6"/>
  <c r="E6" i="6"/>
  <c r="D6" i="6"/>
  <c r="C6" i="6"/>
  <c r="AC14" i="6"/>
  <c r="AB14" i="6"/>
  <c r="W14" i="6"/>
  <c r="U14" i="6"/>
  <c r="T14" i="6"/>
  <c r="R14" i="6"/>
  <c r="Q14" i="6"/>
  <c r="O14" i="6"/>
  <c r="N14" i="6"/>
  <c r="M14" i="6"/>
  <c r="L14" i="6"/>
  <c r="J14" i="6"/>
  <c r="I14" i="6"/>
  <c r="G14" i="6"/>
  <c r="E14" i="6"/>
  <c r="D14" i="6"/>
  <c r="C14" i="6"/>
  <c r="AN14" i="6"/>
  <c r="AM14" i="6"/>
  <c r="AL14" i="6"/>
  <c r="AK14" i="6"/>
  <c r="F14" i="6"/>
  <c r="AD17" i="5"/>
  <c r="AC17" i="5"/>
  <c r="AA17" i="5"/>
  <c r="Z17" i="5"/>
  <c r="W17" i="5"/>
  <c r="R17" i="5"/>
  <c r="Q17" i="5"/>
  <c r="U17" i="5"/>
  <c r="T17" i="5"/>
  <c r="J17" i="5"/>
  <c r="I17" i="5"/>
  <c r="O17" i="5"/>
  <c r="N17" i="5"/>
  <c r="M17" i="5"/>
  <c r="L17" i="5"/>
  <c r="D17" i="5"/>
  <c r="C17" i="5"/>
  <c r="G9" i="5"/>
  <c r="U8" i="5"/>
  <c r="T8" i="5"/>
  <c r="R8" i="5"/>
  <c r="Q8" i="5"/>
  <c r="O8" i="5"/>
  <c r="N8" i="5"/>
  <c r="M8" i="5"/>
  <c r="L8" i="5"/>
  <c r="J8" i="5"/>
  <c r="I8" i="5"/>
  <c r="G8" i="5"/>
  <c r="F8" i="5"/>
  <c r="E8" i="5"/>
  <c r="D8" i="5"/>
  <c r="C8" i="5"/>
  <c r="U7" i="5"/>
  <c r="T7" i="5"/>
  <c r="R7" i="5"/>
  <c r="Q7" i="5"/>
  <c r="O7" i="5"/>
  <c r="N7" i="5"/>
  <c r="M7" i="5"/>
  <c r="L7" i="5"/>
  <c r="J7" i="5"/>
  <c r="I7" i="5"/>
  <c r="G7" i="5"/>
  <c r="F7" i="5"/>
  <c r="E7" i="5"/>
  <c r="D7" i="5"/>
  <c r="C7" i="5"/>
  <c r="U6" i="5"/>
  <c r="T6" i="5"/>
  <c r="R6" i="5"/>
  <c r="Q6" i="5"/>
  <c r="O6" i="5"/>
  <c r="N6" i="5"/>
  <c r="M6" i="5"/>
  <c r="L6" i="5"/>
  <c r="J6" i="5"/>
  <c r="I6" i="5"/>
  <c r="G6" i="5"/>
  <c r="F6" i="5"/>
  <c r="E6" i="5"/>
  <c r="D6" i="5"/>
  <c r="C6" i="5"/>
  <c r="Q16" i="5"/>
  <c r="O16" i="5"/>
  <c r="N16" i="5"/>
  <c r="M16" i="5"/>
  <c r="L16" i="5"/>
  <c r="U16" i="5"/>
  <c r="T16" i="5"/>
  <c r="R16" i="5"/>
  <c r="J16" i="5"/>
  <c r="I16" i="5"/>
  <c r="AH16" i="5"/>
  <c r="AG16" i="5"/>
  <c r="AF16" i="5"/>
  <c r="AD16" i="5"/>
  <c r="AC16" i="5"/>
  <c r="AA16" i="5"/>
  <c r="Z16" i="5"/>
  <c r="X16" i="5"/>
  <c r="W16" i="5"/>
  <c r="G16" i="5"/>
  <c r="F16" i="5"/>
  <c r="E16" i="5"/>
  <c r="D16" i="5"/>
  <c r="C16" i="5"/>
  <c r="AI16" i="5"/>
  <c r="AY34" i="10" l="1"/>
  <c r="AW18" i="9"/>
  <c r="AZ34" i="4" l="1"/>
  <c r="AY34" i="4"/>
  <c r="AW34" i="4"/>
  <c r="AV34" i="4"/>
  <c r="AZ33" i="4"/>
  <c r="AT34" i="4"/>
  <c r="AS34" i="4"/>
  <c r="AR34" i="4"/>
  <c r="AQ34" i="4"/>
  <c r="AP34" i="4"/>
  <c r="AO34" i="4"/>
  <c r="AN34" i="4"/>
  <c r="AL34" i="4"/>
  <c r="AK34" i="4"/>
  <c r="AJ34" i="4"/>
  <c r="AI34" i="4"/>
  <c r="AH34" i="4"/>
  <c r="AG34" i="4"/>
  <c r="AE34" i="4"/>
  <c r="AD34" i="4"/>
  <c r="AC34" i="4"/>
  <c r="AB34" i="4"/>
  <c r="AA34" i="4"/>
  <c r="Z34" i="4"/>
  <c r="AQ33" i="4"/>
  <c r="AP33" i="4"/>
  <c r="AO33" i="4"/>
  <c r="AL33" i="4"/>
  <c r="AK33" i="4"/>
  <c r="AY33" i="4"/>
  <c r="AW33" i="4"/>
  <c r="AV33" i="4"/>
  <c r="W34" i="4"/>
  <c r="X34" i="4"/>
  <c r="R34" i="4"/>
  <c r="Q34" i="4"/>
  <c r="U34" i="4"/>
  <c r="T34" i="4"/>
  <c r="O34" i="4"/>
  <c r="N34" i="4"/>
  <c r="M34" i="4"/>
  <c r="L34" i="4"/>
  <c r="J34" i="4"/>
  <c r="I34" i="4"/>
  <c r="G34" i="4"/>
  <c r="F34" i="4"/>
  <c r="D34" i="4"/>
  <c r="C34" i="4"/>
  <c r="AC33" i="4" l="1"/>
  <c r="X8" i="4"/>
  <c r="X7" i="4"/>
  <c r="X6" i="4"/>
  <c r="W8" i="4"/>
  <c r="W7" i="4"/>
  <c r="W6" i="4"/>
  <c r="T33" i="4"/>
  <c r="M33" i="4"/>
  <c r="J33" i="4"/>
  <c r="G33" i="4"/>
  <c r="G9" i="4"/>
  <c r="U8" i="4"/>
  <c r="T8" i="4"/>
  <c r="R8" i="4"/>
  <c r="Q8" i="4"/>
  <c r="O8" i="4"/>
  <c r="N8" i="4"/>
  <c r="M8" i="4"/>
  <c r="L8" i="4"/>
  <c r="J8" i="4"/>
  <c r="I8" i="4"/>
  <c r="G8" i="4"/>
  <c r="F8" i="4"/>
  <c r="E8" i="4"/>
  <c r="D8" i="4"/>
  <c r="C8" i="4"/>
  <c r="U7" i="4"/>
  <c r="T7" i="4"/>
  <c r="R7" i="4"/>
  <c r="Q7" i="4"/>
  <c r="O7" i="4"/>
  <c r="N7" i="4"/>
  <c r="M7" i="4"/>
  <c r="L7" i="4"/>
  <c r="J7" i="4"/>
  <c r="I7" i="4"/>
  <c r="G7" i="4"/>
  <c r="F7" i="4"/>
  <c r="E7" i="4"/>
  <c r="D7" i="4"/>
  <c r="C7" i="4"/>
  <c r="U6" i="4"/>
  <c r="T6" i="4"/>
  <c r="R6" i="4"/>
  <c r="Q6" i="4"/>
  <c r="O6" i="4"/>
  <c r="N6" i="4"/>
  <c r="M6" i="4"/>
  <c r="L6" i="4"/>
  <c r="J6" i="4"/>
  <c r="I6" i="4"/>
  <c r="G6" i="4"/>
  <c r="F6" i="4"/>
  <c r="E6" i="4"/>
  <c r="D6" i="4"/>
  <c r="C6" i="4"/>
  <c r="AM19" i="3"/>
  <c r="AL19" i="3"/>
  <c r="AJ19" i="3"/>
  <c r="AI19" i="3"/>
  <c r="AM18" i="3" l="1"/>
  <c r="AL18" i="3"/>
  <c r="AJ18" i="3"/>
  <c r="AI18" i="3"/>
  <c r="AP14" i="3"/>
  <c r="AP11" i="3"/>
  <c r="AG19" i="3"/>
  <c r="AF19" i="3"/>
  <c r="AA19" i="3"/>
  <c r="X19" i="3"/>
  <c r="U19" i="3"/>
  <c r="T19" i="3"/>
  <c r="R19" i="3"/>
  <c r="Q19" i="3"/>
  <c r="N19" i="3"/>
  <c r="M19" i="3"/>
  <c r="L19" i="3"/>
  <c r="C18" i="3"/>
  <c r="D18" i="3"/>
  <c r="E19" i="3"/>
  <c r="D19" i="3"/>
  <c r="C19" i="3"/>
  <c r="AF18" i="3"/>
  <c r="AG18" i="3"/>
  <c r="AC8" i="3"/>
  <c r="AD18" i="3"/>
  <c r="AC18" i="3"/>
  <c r="AD8" i="3"/>
  <c r="AA8" i="3"/>
  <c r="Z8" i="3"/>
  <c r="X8" i="3"/>
  <c r="W8" i="3"/>
  <c r="U8" i="3"/>
  <c r="U7" i="3"/>
  <c r="U6" i="3"/>
  <c r="T8" i="3"/>
  <c r="T7" i="3"/>
  <c r="T6" i="3"/>
  <c r="R8" i="3"/>
  <c r="R7" i="3"/>
  <c r="R6" i="3"/>
  <c r="Q8" i="3"/>
  <c r="Q7" i="3"/>
  <c r="Q6" i="3"/>
  <c r="N18" i="3"/>
  <c r="O8" i="3"/>
  <c r="O7" i="3"/>
  <c r="O6" i="3"/>
  <c r="N8" i="3"/>
  <c r="N7" i="3"/>
  <c r="N6" i="3"/>
  <c r="M8" i="3"/>
  <c r="M7" i="3"/>
  <c r="M6" i="3"/>
  <c r="L8" i="3"/>
  <c r="L7" i="3"/>
  <c r="L6" i="3"/>
  <c r="J8" i="3"/>
  <c r="J7" i="3"/>
  <c r="J6" i="3"/>
  <c r="I8" i="3"/>
  <c r="I7" i="3"/>
  <c r="I6" i="3"/>
  <c r="G9" i="3"/>
  <c r="G8" i="3"/>
  <c r="G7" i="3"/>
  <c r="G6" i="3"/>
  <c r="F8" i="3"/>
  <c r="F7" i="3"/>
  <c r="F6" i="3"/>
  <c r="E8" i="3"/>
  <c r="E7" i="3"/>
  <c r="E6" i="3"/>
  <c r="D8" i="3"/>
  <c r="D7" i="3"/>
  <c r="D6" i="3"/>
  <c r="C8" i="3"/>
  <c r="C7" i="3"/>
  <c r="C6" i="3"/>
  <c r="G18" i="3"/>
  <c r="BD33" i="4"/>
  <c r="BC33" i="4"/>
  <c r="BB33" i="4"/>
  <c r="AT33" i="4"/>
  <c r="AS33" i="4"/>
  <c r="AR33" i="4"/>
  <c r="AN33" i="4"/>
  <c r="AJ33" i="4"/>
  <c r="AI33" i="4"/>
  <c r="AH33" i="4"/>
  <c r="AG33" i="4"/>
  <c r="AE33" i="4"/>
  <c r="AD33" i="4"/>
  <c r="AB33" i="4"/>
  <c r="AA33" i="4"/>
  <c r="Z33" i="4"/>
  <c r="X33" i="4"/>
  <c r="W33" i="4"/>
  <c r="U33" i="4"/>
  <c r="R33" i="4"/>
  <c r="Q33" i="4"/>
  <c r="O33" i="4"/>
  <c r="N33" i="4"/>
  <c r="L33" i="4"/>
  <c r="I33" i="4"/>
  <c r="F33" i="4"/>
  <c r="E33" i="4"/>
  <c r="D33" i="4"/>
  <c r="C33" i="4"/>
  <c r="BE33" i="4"/>
  <c r="AR18" i="3"/>
  <c r="AQ18" i="3"/>
  <c r="AO18" i="3"/>
  <c r="AA18" i="3"/>
  <c r="Z18" i="3"/>
  <c r="X18" i="3"/>
  <c r="W18" i="3"/>
  <c r="U18" i="3"/>
  <c r="T18" i="3"/>
  <c r="R18" i="3"/>
  <c r="Q18" i="3"/>
  <c r="O18" i="3"/>
  <c r="M18" i="3"/>
  <c r="L18" i="3"/>
  <c r="J18" i="3"/>
  <c r="I18" i="3"/>
  <c r="F18" i="3"/>
  <c r="E18" i="3"/>
  <c r="AP18" i="3" l="1"/>
</calcChain>
</file>

<file path=xl/sharedStrings.xml><?xml version="1.0" encoding="utf-8"?>
<sst xmlns="http://schemas.openxmlformats.org/spreadsheetml/2006/main" count="1747" uniqueCount="652">
  <si>
    <t>General Assembly</t>
  </si>
  <si>
    <t>1st Legislative District</t>
  </si>
  <si>
    <t>2nd Legislative District</t>
  </si>
  <si>
    <t>8th Legislative District</t>
  </si>
  <si>
    <t>9th Legislative District</t>
  </si>
  <si>
    <t>Public Count</t>
  </si>
  <si>
    <t>Municipality</t>
  </si>
  <si>
    <t xml:space="preserve">Total </t>
  </si>
  <si>
    <t>Total</t>
  </si>
  <si>
    <t>Yes</t>
  </si>
  <si>
    <t>No</t>
  </si>
  <si>
    <t xml:space="preserve">Registered </t>
  </si>
  <si>
    <t>Machine</t>
  </si>
  <si>
    <t>Vote By</t>
  </si>
  <si>
    <t>Provisional</t>
  </si>
  <si>
    <t>Public</t>
  </si>
  <si>
    <t>Republican</t>
  </si>
  <si>
    <t>Voters</t>
  </si>
  <si>
    <t>Count</t>
  </si>
  <si>
    <t>Mail</t>
  </si>
  <si>
    <t>Absecon</t>
  </si>
  <si>
    <t>Atlantic City</t>
  </si>
  <si>
    <t>Brigantine</t>
  </si>
  <si>
    <t>Buena Borough</t>
  </si>
  <si>
    <t>Buena Vista</t>
  </si>
  <si>
    <t>Corbin City</t>
  </si>
  <si>
    <t>Egg Harbor City</t>
  </si>
  <si>
    <t>Egg Harbor Twp.</t>
  </si>
  <si>
    <t>Estell Manor</t>
  </si>
  <si>
    <t>Folsom</t>
  </si>
  <si>
    <t>Galloway Twp.</t>
  </si>
  <si>
    <t>Hamilton Twp.</t>
  </si>
  <si>
    <t>Hammonton</t>
  </si>
  <si>
    <t>Linwood</t>
  </si>
  <si>
    <t>Longport</t>
  </si>
  <si>
    <t>Margate</t>
  </si>
  <si>
    <t>Mullica</t>
  </si>
  <si>
    <t>Northfield</t>
  </si>
  <si>
    <t>Pleasantville</t>
  </si>
  <si>
    <t>Port Republic</t>
  </si>
  <si>
    <t>Somers Point</t>
  </si>
  <si>
    <t>Ventnor</t>
  </si>
  <si>
    <t>Weymouth</t>
  </si>
  <si>
    <t>Vote by Mail</t>
  </si>
  <si>
    <t>Provisionals</t>
  </si>
  <si>
    <t>Grand Total</t>
  </si>
  <si>
    <t>Governor</t>
  </si>
  <si>
    <t>Jack</t>
  </si>
  <si>
    <t>CIATTARELLI</t>
  </si>
  <si>
    <t>Philip</t>
  </si>
  <si>
    <t>MURPHY</t>
  </si>
  <si>
    <t>Madelyn R.</t>
  </si>
  <si>
    <t>HOFFMAN</t>
  </si>
  <si>
    <t>Green Party</t>
  </si>
  <si>
    <t>Libertarian Party</t>
  </si>
  <si>
    <t>Gregg</t>
  </si>
  <si>
    <t>MELE</t>
  </si>
  <si>
    <t>Joanne</t>
  </si>
  <si>
    <t>KUNIANSKY</t>
  </si>
  <si>
    <t>Democrat</t>
  </si>
  <si>
    <t>Socialist Workers</t>
  </si>
  <si>
    <t>Party</t>
  </si>
  <si>
    <t>Vince</t>
  </si>
  <si>
    <t>POLISTINA</t>
  </si>
  <si>
    <t>MAZZEO</t>
  </si>
  <si>
    <t>Don</t>
  </si>
  <si>
    <t>GUARDIAN</t>
  </si>
  <si>
    <t>Claire</t>
  </si>
  <si>
    <t>SWIFT</t>
  </si>
  <si>
    <t>John</t>
  </si>
  <si>
    <t>ARMATO</t>
  </si>
  <si>
    <t>Caren</t>
  </si>
  <si>
    <t>FITZPATRICK</t>
  </si>
  <si>
    <t>Michael</t>
  </si>
  <si>
    <t>TESTA</t>
  </si>
  <si>
    <t>Yolanda E.</t>
  </si>
  <si>
    <t>GARCIA BALICKI</t>
  </si>
  <si>
    <t>Erik</t>
  </si>
  <si>
    <t>SIMONSEN</t>
  </si>
  <si>
    <t>John P.</t>
  </si>
  <si>
    <t>CAPIZOLA, Jr.</t>
  </si>
  <si>
    <t>Antwan</t>
  </si>
  <si>
    <t>McCLELLAN</t>
  </si>
  <si>
    <t>Julia L.</t>
  </si>
  <si>
    <t>HANKERSON</t>
  </si>
  <si>
    <t>GALLO</t>
  </si>
  <si>
    <t>Jacob</t>
  </si>
  <si>
    <t>SELWOOD</t>
  </si>
  <si>
    <t>State Senate</t>
  </si>
  <si>
    <t>Jean</t>
  </si>
  <si>
    <t>STANFIELD</t>
  </si>
  <si>
    <t>Dawn Marie</t>
  </si>
  <si>
    <t>ADDIEGO</t>
  </si>
  <si>
    <t>TORRISSI, Jr.</t>
  </si>
  <si>
    <t>Brandon</t>
  </si>
  <si>
    <t>UMBA</t>
  </si>
  <si>
    <t>Mark</t>
  </si>
  <si>
    <t>NATALE</t>
  </si>
  <si>
    <t>Allison</t>
  </si>
  <si>
    <t>ECKEL</t>
  </si>
  <si>
    <t>Christopher J.</t>
  </si>
  <si>
    <t>CONNORS</t>
  </si>
  <si>
    <t>David T.</t>
  </si>
  <si>
    <t>WRIGHT</t>
  </si>
  <si>
    <t>Regina C.</t>
  </si>
  <si>
    <t>DISCENZA</t>
  </si>
  <si>
    <t>Brian E.</t>
  </si>
  <si>
    <t>RUMPF</t>
  </si>
  <si>
    <t>Dianne C.</t>
  </si>
  <si>
    <t>GOVE</t>
  </si>
  <si>
    <t>Alexis</t>
  </si>
  <si>
    <t>JACKSON</t>
  </si>
  <si>
    <t>Kristen</t>
  </si>
  <si>
    <t>HOLLAND</t>
  </si>
  <si>
    <t>HENNINGER</t>
  </si>
  <si>
    <t>Unaffiliated Best</t>
  </si>
  <si>
    <t>Choice</t>
  </si>
  <si>
    <t>Joseph J.</t>
  </si>
  <si>
    <t>GIRALO</t>
  </si>
  <si>
    <t>Lisa</t>
  </si>
  <si>
    <t>JIAMPETTI</t>
  </si>
  <si>
    <t>County Clerk</t>
  </si>
  <si>
    <t>Commissioner-at-Large</t>
  </si>
  <si>
    <t>Commissioner District 2</t>
  </si>
  <si>
    <t>Commissioner District 3</t>
  </si>
  <si>
    <t>Commissioner District 5</t>
  </si>
  <si>
    <t>State Question #1</t>
  </si>
  <si>
    <t>State Question #2</t>
  </si>
  <si>
    <t>Frank X.</t>
  </si>
  <si>
    <t>BALLES</t>
  </si>
  <si>
    <t>Celeste</t>
  </si>
  <si>
    <t>FERNANDEZ</t>
  </si>
  <si>
    <t>Maureen</t>
  </si>
  <si>
    <t>KERN</t>
  </si>
  <si>
    <t>Jelani</t>
  </si>
  <si>
    <t>GANDY</t>
  </si>
  <si>
    <t>Andrew</t>
  </si>
  <si>
    <t>PARKER</t>
  </si>
  <si>
    <t>Thelma</t>
  </si>
  <si>
    <t>WITHERSPOON</t>
  </si>
  <si>
    <t>James</t>
  </si>
  <si>
    <t>BERTINO</t>
  </si>
  <si>
    <t>Dr. William</t>
  </si>
  <si>
    <t>BEYERS</t>
  </si>
  <si>
    <t>Early</t>
  </si>
  <si>
    <t>Voting</t>
  </si>
  <si>
    <t>Early Voting</t>
  </si>
  <si>
    <t>Council</t>
  </si>
  <si>
    <t>Members of the Local</t>
  </si>
  <si>
    <t>Ward 1</t>
  </si>
  <si>
    <t>Ward 2</t>
  </si>
  <si>
    <t>Board of Education</t>
  </si>
  <si>
    <t>Absecon W1 D1</t>
  </si>
  <si>
    <t>Absecon W1 D2</t>
  </si>
  <si>
    <t>Absecon W1 D3</t>
  </si>
  <si>
    <t>Absecon W2 D1</t>
  </si>
  <si>
    <t>Absecon W2 D2</t>
  </si>
  <si>
    <t>Absecon W2 D3</t>
  </si>
  <si>
    <t xml:space="preserve">Early </t>
  </si>
  <si>
    <t>Made</t>
  </si>
  <si>
    <t>Atlantic City W1 D1</t>
  </si>
  <si>
    <t>Atlantic City W1 D2</t>
  </si>
  <si>
    <t>Atlantic City W1 D3</t>
  </si>
  <si>
    <t>Atlantic City W1 D4</t>
  </si>
  <si>
    <t>Atlantic City W2 D1</t>
  </si>
  <si>
    <t>Atlantic City W2 D2</t>
  </si>
  <si>
    <t>Atlantic City W2 D3</t>
  </si>
  <si>
    <t>Atlantic City W3 D1</t>
  </si>
  <si>
    <t>Atlantic City W3 D2</t>
  </si>
  <si>
    <t>Atlantic City W3 D3</t>
  </si>
  <si>
    <t>Atlantic City W3 D4</t>
  </si>
  <si>
    <t>Atlantic City W4 D1</t>
  </si>
  <si>
    <t>Atlantic City W4 D2</t>
  </si>
  <si>
    <t>Atlantic City W4 D3</t>
  </si>
  <si>
    <t>Atlantic City W4 D4</t>
  </si>
  <si>
    <t>Atlantic City W5 D1</t>
  </si>
  <si>
    <t>Atlantic City W5 D2</t>
  </si>
  <si>
    <t>Atlantic City W6 D1</t>
  </si>
  <si>
    <t>Atlantic City W6 D2</t>
  </si>
  <si>
    <t>Atlantic City W6 D3</t>
  </si>
  <si>
    <t>Atlantic City W6 D4</t>
  </si>
  <si>
    <t>Stephen S.</t>
  </si>
  <si>
    <t>LIGHT</t>
  </si>
  <si>
    <t>No Nomination</t>
  </si>
  <si>
    <t>Nick</t>
  </si>
  <si>
    <t>LAROTONDA</t>
  </si>
  <si>
    <t>Nicholas</t>
  </si>
  <si>
    <t>TIBERIO</t>
  </si>
  <si>
    <t>Council-at-Large</t>
  </si>
  <si>
    <t>Sandra</t>
  </si>
  <si>
    <t>CAIN</t>
  </si>
  <si>
    <t>Christopher</t>
  </si>
  <si>
    <t>COTTRELL</t>
  </si>
  <si>
    <t>Megan</t>
  </si>
  <si>
    <t>MARCZYK</t>
  </si>
  <si>
    <t>Tom</t>
  </si>
  <si>
    <t>FORKIN</t>
  </si>
  <si>
    <t>Marty</t>
  </si>
  <si>
    <t>SMALL, Sr.</t>
  </si>
  <si>
    <t>Daud M.</t>
  </si>
  <si>
    <t>PANAH</t>
  </si>
  <si>
    <t>Jimmy</t>
  </si>
  <si>
    <t>WHITEHEAD</t>
  </si>
  <si>
    <t>Steven P.</t>
  </si>
  <si>
    <t>LAYMAN</t>
  </si>
  <si>
    <t>Moisse "Mo"</t>
  </si>
  <si>
    <t>DELGADO</t>
  </si>
  <si>
    <t xml:space="preserve">People Over </t>
  </si>
  <si>
    <t xml:space="preserve">RAISE </t>
  </si>
  <si>
    <t>THE WAGE</t>
  </si>
  <si>
    <t>Security Economics</t>
  </si>
  <si>
    <t xml:space="preserve"> Education</t>
  </si>
  <si>
    <t xml:space="preserve">Unlock AC's </t>
  </si>
  <si>
    <t>Potential</t>
  </si>
  <si>
    <t>Maria</t>
  </si>
  <si>
    <t>LACCA</t>
  </si>
  <si>
    <t>Rizwan</t>
  </si>
  <si>
    <t>KHAN MALIK</t>
  </si>
  <si>
    <t>Matthew James</t>
  </si>
  <si>
    <t>DIULLIO-JUSINO</t>
  </si>
  <si>
    <t>Stephanie</t>
  </si>
  <si>
    <t>MARSHALL</t>
  </si>
  <si>
    <t>George</t>
  </si>
  <si>
    <t>TIBBITT</t>
  </si>
  <si>
    <t>Bruce E.</t>
  </si>
  <si>
    <t>WEEKES</t>
  </si>
  <si>
    <t>Mayor</t>
  </si>
  <si>
    <t>Torres</t>
  </si>
  <si>
    <t>MAYFIELD</t>
  </si>
  <si>
    <t>Michael A.</t>
  </si>
  <si>
    <t>SCOTT</t>
  </si>
  <si>
    <t>Henry A.</t>
  </si>
  <si>
    <t>GREEN</t>
  </si>
  <si>
    <t>SPEED</t>
  </si>
  <si>
    <t>Shay</t>
  </si>
  <si>
    <t>STEELE</t>
  </si>
  <si>
    <t>Jennifer</t>
  </si>
  <si>
    <t>Ruth</t>
  </si>
  <si>
    <t>BYARD</t>
  </si>
  <si>
    <t>Jarrod</t>
  </si>
  <si>
    <t>Members of the Local Board of Education</t>
  </si>
  <si>
    <t>BARNES</t>
  </si>
  <si>
    <t>Brigantine Ward 01</t>
  </si>
  <si>
    <t>Brigantine Ward 02</t>
  </si>
  <si>
    <t>Brigantine Ward 03</t>
  </si>
  <si>
    <t>Brigantine Ward 04</t>
  </si>
  <si>
    <t>Cornelius "Neil"</t>
  </si>
  <si>
    <t>KANE</t>
  </si>
  <si>
    <t>Joseph A.</t>
  </si>
  <si>
    <t>Buena Borough Dist 01</t>
  </si>
  <si>
    <t>Buena Borough Dist 02</t>
  </si>
  <si>
    <t>Rosalie M.</t>
  </si>
  <si>
    <t>BAKER</t>
  </si>
  <si>
    <t>Joseph S.</t>
  </si>
  <si>
    <t>MANCUSO, Jr.</t>
  </si>
  <si>
    <t>Gina K.</t>
  </si>
  <si>
    <t>ANDALORO</t>
  </si>
  <si>
    <t>Patricia A.</t>
  </si>
  <si>
    <t xml:space="preserve"> </t>
  </si>
  <si>
    <t>2 Year Unexpired Term</t>
  </si>
  <si>
    <t>Members of the Buena Regional</t>
  </si>
  <si>
    <t>Township Committee</t>
  </si>
  <si>
    <t>Carlo</t>
  </si>
  <si>
    <t>Buena Vista Township Dist 01</t>
  </si>
  <si>
    <t>Buena Vista Township Dist 02</t>
  </si>
  <si>
    <t>Buena Vista Township Dist 03</t>
  </si>
  <si>
    <t>Buena Vista Township Dist 04</t>
  </si>
  <si>
    <t>Aaron</t>
  </si>
  <si>
    <t>KRENZER</t>
  </si>
  <si>
    <t>Ellen</t>
  </si>
  <si>
    <t>FAVRETTO, Jr.</t>
  </si>
  <si>
    <t>Ronnise</t>
  </si>
  <si>
    <t>WHITE</t>
  </si>
  <si>
    <t>Sarah</t>
  </si>
  <si>
    <t>MACK</t>
  </si>
  <si>
    <t>PERELLA, Jr.</t>
  </si>
  <si>
    <t>Sabrina</t>
  </si>
  <si>
    <t>FUTTY</t>
  </si>
  <si>
    <t xml:space="preserve"> Board of Education</t>
  </si>
  <si>
    <t>Laverne</t>
  </si>
  <si>
    <t>KIRN</t>
  </si>
  <si>
    <t>Nikki M.</t>
  </si>
  <si>
    <t>NICHOLS</t>
  </si>
  <si>
    <t>Common Council</t>
  </si>
  <si>
    <t>Egg Harbor City W1 D1</t>
  </si>
  <si>
    <t>Egg Harbor City W1 D2</t>
  </si>
  <si>
    <t>Egg Harbor City W1 D3</t>
  </si>
  <si>
    <t>Egg Harbor City W2 D1</t>
  </si>
  <si>
    <t>Egg Harbor City W2 D2</t>
  </si>
  <si>
    <t>Egg Harbor City W2 D3</t>
  </si>
  <si>
    <t>Robin</t>
  </si>
  <si>
    <t>SEFTON</t>
  </si>
  <si>
    <t>Ingrid E.</t>
  </si>
  <si>
    <t>NIEVES-CLARK</t>
  </si>
  <si>
    <t>Joseph</t>
  </si>
  <si>
    <t>RICCI, Jr.</t>
  </si>
  <si>
    <t>Yvonne</t>
  </si>
  <si>
    <t>FLYN</t>
  </si>
  <si>
    <t>Kim</t>
  </si>
  <si>
    <t>HESSE</t>
  </si>
  <si>
    <t>Eladia</t>
  </si>
  <si>
    <t>RIVERA</t>
  </si>
  <si>
    <t>Dawn</t>
  </si>
  <si>
    <t>LEEDS-SMITH</t>
  </si>
  <si>
    <t>Ammie</t>
  </si>
  <si>
    <t>CRAMER</t>
  </si>
  <si>
    <t>Mary Ann</t>
  </si>
  <si>
    <t>ROGERS</t>
  </si>
  <si>
    <t>Stephen V.</t>
  </si>
  <si>
    <t>BOUCHARD</t>
  </si>
  <si>
    <t>Member of the</t>
  </si>
  <si>
    <t>Regional Board</t>
  </si>
  <si>
    <t>of Education</t>
  </si>
  <si>
    <t>Joe</t>
  </si>
  <si>
    <t>Egg Harbor Township Dist 01</t>
  </si>
  <si>
    <t>Egg Harbor Township Dist 02</t>
  </si>
  <si>
    <t>Egg Harbor Township Dist 03</t>
  </si>
  <si>
    <t>Egg Harbor Township Dist 04</t>
  </si>
  <si>
    <t>Egg Harbor Township Dist 05</t>
  </si>
  <si>
    <t>Egg Harbor Township Dist 06</t>
  </si>
  <si>
    <t>Egg Harbor Township Dist 07</t>
  </si>
  <si>
    <t>Egg Harbor Township Dist 08</t>
  </si>
  <si>
    <t>Egg Harbor Township Dist 09</t>
  </si>
  <si>
    <t>Egg Harbor Township Dist 10</t>
  </si>
  <si>
    <t>Egg Harbor Township Dist 11</t>
  </si>
  <si>
    <t>Egg Harbor Township Dist 12</t>
  </si>
  <si>
    <t>Egg Harbor Township Dist 13</t>
  </si>
  <si>
    <t>Egg Harbor Township Dist 14</t>
  </si>
  <si>
    <t>Egg Harbor Township Dist 15</t>
  </si>
  <si>
    <t>Egg Harbor Township Dist 16</t>
  </si>
  <si>
    <t>Egg Harbor Township Dist 17</t>
  </si>
  <si>
    <t>Egg Harbor Township Dist 18</t>
  </si>
  <si>
    <t>Egg Harbor Township Dist 19</t>
  </si>
  <si>
    <t>Egg Harbor Township Dist 20</t>
  </si>
  <si>
    <t>Egg Harbor Township Dist 21</t>
  </si>
  <si>
    <t>Egg Harbor Township Dist 22</t>
  </si>
  <si>
    <t>Ray R.</t>
  </si>
  <si>
    <t>ELLIS, Jr.</t>
  </si>
  <si>
    <t>Joseph "Tokyo"</t>
  </si>
  <si>
    <t>O'DONOGHUE</t>
  </si>
  <si>
    <t>James "Bear"</t>
  </si>
  <si>
    <t>PESCE</t>
  </si>
  <si>
    <t>Shawn M.</t>
  </si>
  <si>
    <t>O'BRIEN</t>
  </si>
  <si>
    <t>Juanita</t>
  </si>
  <si>
    <t>HYMAN</t>
  </si>
  <si>
    <t>Regina</t>
  </si>
  <si>
    <t>BONGIORNO</t>
  </si>
  <si>
    <t>Sheikh</t>
  </si>
  <si>
    <t>MAHMUD</t>
  </si>
  <si>
    <t>Barbara</t>
  </si>
  <si>
    <t>SZILAGYI</t>
  </si>
  <si>
    <t>Terre</t>
  </si>
  <si>
    <t>ALABARDA</t>
  </si>
  <si>
    <t>Nicholas J.</t>
  </si>
  <si>
    <t>SEPPY</t>
  </si>
  <si>
    <t>1 Year Unexpired Term</t>
  </si>
  <si>
    <t>Member of the Local</t>
  </si>
  <si>
    <t>Elizabeth (Betsy)</t>
  </si>
  <si>
    <t>OWEN</t>
  </si>
  <si>
    <t>VENEZIA</t>
  </si>
  <si>
    <t>Leadership</t>
  </si>
  <si>
    <t>Conservative</t>
  </si>
  <si>
    <t xml:space="preserve">Independent </t>
  </si>
  <si>
    <t>Christine</t>
  </si>
  <si>
    <t>MASKER</t>
  </si>
  <si>
    <t>Dane</t>
  </si>
  <si>
    <t>LAMCKEN</t>
  </si>
  <si>
    <t>Katherine E.</t>
  </si>
  <si>
    <t>MIMLER</t>
  </si>
  <si>
    <t>FERRARI</t>
  </si>
  <si>
    <t>Albert W.</t>
  </si>
  <si>
    <t>NORMAN, Jr.</t>
  </si>
  <si>
    <t>Gregory</t>
  </si>
  <si>
    <t>CONWAY</t>
  </si>
  <si>
    <t>Tiffani</t>
  </si>
  <si>
    <t>DYCH</t>
  </si>
  <si>
    <t>THOMAS</t>
  </si>
  <si>
    <t>Daria</t>
  </si>
  <si>
    <t>DeSTEFANO</t>
  </si>
  <si>
    <t>Galloway Township Dist 01</t>
  </si>
  <si>
    <t>Galloway Township Dist 02</t>
  </si>
  <si>
    <t>Galloway Township Dist 03</t>
  </si>
  <si>
    <t>Galloway Township Dist 04</t>
  </si>
  <si>
    <t>Galloway Township Dist 05</t>
  </si>
  <si>
    <t>Galloway Township Dist 06</t>
  </si>
  <si>
    <t>Galloway Township Dist 07</t>
  </si>
  <si>
    <t>Galloway Township Dist 08</t>
  </si>
  <si>
    <t>Galloway Township Dist 09</t>
  </si>
  <si>
    <t>Galloway Township Dist 10</t>
  </si>
  <si>
    <t>Galloway Township Dist 11</t>
  </si>
  <si>
    <t>Galloway Township Dist 12</t>
  </si>
  <si>
    <t>Galloway Township Dist 13</t>
  </si>
  <si>
    <t>Galloway Township Dist 14</t>
  </si>
  <si>
    <t>Galloway Township Dist 15</t>
  </si>
  <si>
    <t>Galloway Township Dist 16</t>
  </si>
  <si>
    <t>Galloway Township Dist 17</t>
  </si>
  <si>
    <t>RJ</t>
  </si>
  <si>
    <t>AMATO III</t>
  </si>
  <si>
    <t>BASSFORD</t>
  </si>
  <si>
    <t>Clifton</t>
  </si>
  <si>
    <t>SUDLER, Jr.</t>
  </si>
  <si>
    <t>Muhammad</t>
  </si>
  <si>
    <t>UMAR</t>
  </si>
  <si>
    <t>Jim</t>
  </si>
  <si>
    <t>GORMAN</t>
  </si>
  <si>
    <t>Mary</t>
  </si>
  <si>
    <t>CRAWFORD</t>
  </si>
  <si>
    <t>Ken</t>
  </si>
  <si>
    <t>KACHNIC</t>
  </si>
  <si>
    <t>Sherri</t>
  </si>
  <si>
    <t>PARMENTER</t>
  </si>
  <si>
    <t>Lois</t>
  </si>
  <si>
    <t>GARRISON</t>
  </si>
  <si>
    <t>Richard O.</t>
  </si>
  <si>
    <t>DASE</t>
  </si>
  <si>
    <t>Alexa M.</t>
  </si>
  <si>
    <t>Madeline</t>
  </si>
  <si>
    <t>AVERY</t>
  </si>
  <si>
    <t>Hamilton Township Dist 01</t>
  </si>
  <si>
    <t>Hamilton Township Dist 02</t>
  </si>
  <si>
    <t>Hamilton Township Dist 03</t>
  </si>
  <si>
    <t>Hamilton Township Dist 04</t>
  </si>
  <si>
    <t>Hamilton Township Dist 05</t>
  </si>
  <si>
    <t>Hamilton Township Dist 06</t>
  </si>
  <si>
    <t>Hamilton Township Dist 07</t>
  </si>
  <si>
    <t>Hamilton Township Dist 08</t>
  </si>
  <si>
    <t>Hamilton Township Dist 09</t>
  </si>
  <si>
    <t>Hamilton Township Dist 10</t>
  </si>
  <si>
    <t>Hamilton Township Dist 11</t>
  </si>
  <si>
    <t>Hamilton Township Dist 12</t>
  </si>
  <si>
    <t>Hamilton Township Dist 13</t>
  </si>
  <si>
    <t>William (Bill)</t>
  </si>
  <si>
    <t>CAPPUCCIO</t>
  </si>
  <si>
    <t>Richard</t>
  </si>
  <si>
    <t>CHEEK</t>
  </si>
  <si>
    <t>Susan K.</t>
  </si>
  <si>
    <t>HOPKINS</t>
  </si>
  <si>
    <t>Rodney</t>
  </si>
  <si>
    <t>GUISHARD</t>
  </si>
  <si>
    <t>Dr. Robin</t>
  </si>
  <si>
    <t>MOORE</t>
  </si>
  <si>
    <t>Darrell</t>
  </si>
  <si>
    <t>EDMONDS</t>
  </si>
  <si>
    <t>Member of the GEHR</t>
  </si>
  <si>
    <t>Shawn</t>
  </si>
  <si>
    <t>ANKRAH</t>
  </si>
  <si>
    <t>Beverly</t>
  </si>
  <si>
    <t>PORETTO</t>
  </si>
  <si>
    <t>Harry</t>
  </si>
  <si>
    <t>Amy</t>
  </si>
  <si>
    <t>HASSA</t>
  </si>
  <si>
    <t>ERICKSON</t>
  </si>
  <si>
    <t xml:space="preserve">Member of the </t>
  </si>
  <si>
    <t>1 Yr Unexpired Term</t>
  </si>
  <si>
    <t>Hammonton Dist 01</t>
  </si>
  <si>
    <t>Hammonton Dist 02</t>
  </si>
  <si>
    <t>Hammonton Dist 03</t>
  </si>
  <si>
    <t>Hammonton Dist 04</t>
  </si>
  <si>
    <t>Hammonton Dist 05</t>
  </si>
  <si>
    <t>Hammonton Dist 06</t>
  </si>
  <si>
    <t>Hammonton Dist 07</t>
  </si>
  <si>
    <t>Steve</t>
  </si>
  <si>
    <t>DiDONATO</t>
  </si>
  <si>
    <t>Hammonton First</t>
  </si>
  <si>
    <t>Anthony</t>
  </si>
  <si>
    <t>RIZZOTTE</t>
  </si>
  <si>
    <t>Rocco "Rick"</t>
  </si>
  <si>
    <t>FICHETOLA</t>
  </si>
  <si>
    <t>Anthony "Tony"</t>
  </si>
  <si>
    <t>PENZA</t>
  </si>
  <si>
    <t>GRIBBIN</t>
  </si>
  <si>
    <t>Jonathan</t>
  </si>
  <si>
    <t>OLIVA</t>
  </si>
  <si>
    <t>Ed</t>
  </si>
  <si>
    <t>WUILLERMIN</t>
  </si>
  <si>
    <t>Erica</t>
  </si>
  <si>
    <t>POLITO</t>
  </si>
  <si>
    <t>Thomas</t>
  </si>
  <si>
    <t>ATTANASI</t>
  </si>
  <si>
    <t>Sean</t>
  </si>
  <si>
    <t>GRASSO</t>
  </si>
  <si>
    <t>Kelly</t>
  </si>
  <si>
    <t>DONIO</t>
  </si>
  <si>
    <t>Luke</t>
  </si>
  <si>
    <t>COIA</t>
  </si>
  <si>
    <t>Mickey</t>
  </si>
  <si>
    <t>PULLIA</t>
  </si>
  <si>
    <t>Mainland Regional</t>
  </si>
  <si>
    <t>Linwood W1 D1</t>
  </si>
  <si>
    <t>Linwood W1 D2</t>
  </si>
  <si>
    <t>Linwood W2 D1</t>
  </si>
  <si>
    <t>Linwood W2 D2</t>
  </si>
  <si>
    <t>Linwood W2 D3</t>
  </si>
  <si>
    <t>Matthew</t>
  </si>
  <si>
    <t>LEVINSON</t>
  </si>
  <si>
    <t>June</t>
  </si>
  <si>
    <t>BYRNES</t>
  </si>
  <si>
    <t>Blair</t>
  </si>
  <si>
    <t>ALBRIGHT</t>
  </si>
  <si>
    <t>Todd</t>
  </si>
  <si>
    <t>MICHAEL</t>
  </si>
  <si>
    <t>Jill T.</t>
  </si>
  <si>
    <t>OJSERKIS</t>
  </si>
  <si>
    <t>A. Steven</t>
  </si>
  <si>
    <t>PECORA</t>
  </si>
  <si>
    <t>Christopher M.</t>
  </si>
  <si>
    <t>SCHNEIDER</t>
  </si>
  <si>
    <t>GERHARDT</t>
  </si>
  <si>
    <t>Steven</t>
  </si>
  <si>
    <t>EVINSKI</t>
  </si>
  <si>
    <t>Ryan</t>
  </si>
  <si>
    <t>RENDFREY</t>
  </si>
  <si>
    <t>BONANNO</t>
  </si>
  <si>
    <t>Local Board</t>
  </si>
  <si>
    <t>SCHIAVO</t>
  </si>
  <si>
    <t>Margate Dist 01</t>
  </si>
  <si>
    <t>Margate Dist 02</t>
  </si>
  <si>
    <t>Margate Dist 03</t>
  </si>
  <si>
    <t>Margate Dist 04</t>
  </si>
  <si>
    <t>Mullica Township Dist 1</t>
  </si>
  <si>
    <t>Mullica Township Dist 2</t>
  </si>
  <si>
    <t>Mullica Township Dist 3</t>
  </si>
  <si>
    <t>Bruce D.</t>
  </si>
  <si>
    <t>CROWE</t>
  </si>
  <si>
    <t>Kristi</t>
  </si>
  <si>
    <t>HANSELMANN</t>
  </si>
  <si>
    <t>Patricia L.</t>
  </si>
  <si>
    <t>BOWERS</t>
  </si>
  <si>
    <t>Barbara B.</t>
  </si>
  <si>
    <t>RHEAULT</t>
  </si>
  <si>
    <t>Deanna</t>
  </si>
  <si>
    <t>DeMARCO</t>
  </si>
  <si>
    <t>Jessica R.</t>
  </si>
  <si>
    <t>CARROLL</t>
  </si>
  <si>
    <t>Joy</t>
  </si>
  <si>
    <t>WYLD</t>
  </si>
  <si>
    <t>Catherine</t>
  </si>
  <si>
    <t>WERNER</t>
  </si>
  <si>
    <t>Chris</t>
  </si>
  <si>
    <t>SILVA</t>
  </si>
  <si>
    <t>Municipal Question</t>
  </si>
  <si>
    <t>Northfield W1 D1</t>
  </si>
  <si>
    <t>Northfield W1 D2</t>
  </si>
  <si>
    <t>Northfield W1 D3</t>
  </si>
  <si>
    <t>Northfield W1 D4</t>
  </si>
  <si>
    <t>Northfield W2 D1</t>
  </si>
  <si>
    <t>Northfield W2 D2</t>
  </si>
  <si>
    <t>Northfield W2 D3</t>
  </si>
  <si>
    <t>Northfield W2 D4</t>
  </si>
  <si>
    <t>Greg</t>
  </si>
  <si>
    <t>DEWEES</t>
  </si>
  <si>
    <t>Frank</t>
  </si>
  <si>
    <t>PERRI, Jr.</t>
  </si>
  <si>
    <t>Brian L.</t>
  </si>
  <si>
    <t>SMITH</t>
  </si>
  <si>
    <t>Kevin</t>
  </si>
  <si>
    <t>MILHOUS</t>
  </si>
  <si>
    <t>Carolyn</t>
  </si>
  <si>
    <t>BUCCI</t>
  </si>
  <si>
    <t>Barbara Anne</t>
  </si>
  <si>
    <t>MADDEN</t>
  </si>
  <si>
    <t>Kristin S.</t>
  </si>
  <si>
    <t>ELLIOTT</t>
  </si>
  <si>
    <t>Deborah P.</t>
  </si>
  <si>
    <t>LEVITT</t>
  </si>
  <si>
    <t>Stephen F.</t>
  </si>
  <si>
    <t>FUNK</t>
  </si>
  <si>
    <t>Pleasantville W1 D1</t>
  </si>
  <si>
    <t>Pleasantville W1 D2</t>
  </si>
  <si>
    <t>Pleasantville W1 D3</t>
  </si>
  <si>
    <t>Pleasantville W1 D4</t>
  </si>
  <si>
    <t>Pleasantville W2 D1</t>
  </si>
  <si>
    <t>Pleasantville W2 D2</t>
  </si>
  <si>
    <t>Pleasantville W2 D3</t>
  </si>
  <si>
    <t>Pleasantville W2 D4</t>
  </si>
  <si>
    <t>Lawrence "Tony"</t>
  </si>
  <si>
    <t>DAVENPORT</t>
  </si>
  <si>
    <t>Bertilio "Bert"</t>
  </si>
  <si>
    <t>CORREA</t>
  </si>
  <si>
    <t>Victor M.</t>
  </si>
  <si>
    <t>CARMONA</t>
  </si>
  <si>
    <t>Sharnell S.</t>
  </si>
  <si>
    <t>MORGAN</t>
  </si>
  <si>
    <t>Richard E.</t>
  </si>
  <si>
    <t>NORRIS</t>
  </si>
  <si>
    <t>Cassandra</t>
  </si>
  <si>
    <t>CLEMENTS</t>
  </si>
  <si>
    <t>Allen R.</t>
  </si>
  <si>
    <t>MADDOX, Sr.</t>
  </si>
  <si>
    <t>Doris</t>
  </si>
  <si>
    <t>ROWELL</t>
  </si>
  <si>
    <t>Augustus</t>
  </si>
  <si>
    <t>HARMON</t>
  </si>
  <si>
    <t>Port Republic Ward 1</t>
  </si>
  <si>
    <t>Port Republic Ward 2</t>
  </si>
  <si>
    <t>Monica "Niki"</t>
  </si>
  <si>
    <t>GIBERSON</t>
  </si>
  <si>
    <t>ALLGEYER</t>
  </si>
  <si>
    <t>Doris A.</t>
  </si>
  <si>
    <t>BUGDON</t>
  </si>
  <si>
    <t>Somers Point W1 D1</t>
  </si>
  <si>
    <t>Somers Point W1 D2</t>
  </si>
  <si>
    <t>Somers Point W1 D3</t>
  </si>
  <si>
    <t>Somers Point W1 D4</t>
  </si>
  <si>
    <t>Somers Point W2 D1</t>
  </si>
  <si>
    <t>Somers Point W2 D2</t>
  </si>
  <si>
    <t>Somers Point W2 D3</t>
  </si>
  <si>
    <t>Somers Point W2 D4</t>
  </si>
  <si>
    <t>Howard W.</t>
  </si>
  <si>
    <t>DILL</t>
  </si>
  <si>
    <t>Janice</t>
  </si>
  <si>
    <t>JOHNSTON</t>
  </si>
  <si>
    <t>Elizabeth "Lisa"</t>
  </si>
  <si>
    <t>BENDER</t>
  </si>
  <si>
    <t>Jamie P.</t>
  </si>
  <si>
    <t>MOSCONY</t>
  </si>
  <si>
    <t>Charles L.</t>
  </si>
  <si>
    <t>BROOMALL, Jr.</t>
  </si>
  <si>
    <t>CONOVER</t>
  </si>
  <si>
    <t>Heather</t>
  </si>
  <si>
    <t>SAMUELSON</t>
  </si>
  <si>
    <t xml:space="preserve">Council </t>
  </si>
  <si>
    <t>Members of the</t>
  </si>
  <si>
    <t>Ventnor Dist 01</t>
  </si>
  <si>
    <t>Ventnor Dist 02</t>
  </si>
  <si>
    <t>Ventnor Dist 03</t>
  </si>
  <si>
    <t>Ventnor Dist 04</t>
  </si>
  <si>
    <t>Ventnor Dist 05</t>
  </si>
  <si>
    <t>Weymouth Dist 01</t>
  </si>
  <si>
    <t>Weymouth Dist 02</t>
  </si>
  <si>
    <t>Kenneth R.</t>
  </si>
  <si>
    <t>HAESER</t>
  </si>
  <si>
    <t>REYMANN</t>
  </si>
  <si>
    <t xml:space="preserve">Constance Anne </t>
  </si>
  <si>
    <t>"Connie"</t>
  </si>
  <si>
    <t>Brian</t>
  </si>
  <si>
    <t>SARTORIO</t>
  </si>
  <si>
    <t>OLSEN</t>
  </si>
  <si>
    <t>WAGNER</t>
  </si>
  <si>
    <t>Julia Ann</t>
  </si>
  <si>
    <t>CAMPBELL</t>
  </si>
  <si>
    <t>Jason M.</t>
  </si>
  <si>
    <t>YARD</t>
  </si>
  <si>
    <t>Early Voting-Provisionals</t>
  </si>
  <si>
    <t>Election Day-Provisionals</t>
  </si>
  <si>
    <t xml:space="preserve">Paula </t>
  </si>
  <si>
    <t>BRADLEY</t>
  </si>
  <si>
    <t>BESHARA</t>
  </si>
  <si>
    <t>BLAUTH</t>
  </si>
  <si>
    <t>EGBERT</t>
  </si>
  <si>
    <t>Handcount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</si>
</sst>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\(0\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3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25" applyNumberFormat="0" applyFill="0" applyAlignment="0" applyProtection="0"/>
    <xf numFmtId="0" fontId="8" fillId="0" borderId="26" applyNumberFormat="0" applyFill="0" applyAlignment="0" applyProtection="0"/>
    <xf numFmtId="0" fontId="9" fillId="0" borderId="2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28" applyNumberFormat="0" applyAlignment="0" applyProtection="0"/>
    <xf numFmtId="0" fontId="14" fillId="7" borderId="29" applyNumberFormat="0" applyAlignment="0" applyProtection="0"/>
    <xf numFmtId="0" fontId="15" fillId="7" borderId="28" applyNumberFormat="0" applyAlignment="0" applyProtection="0"/>
    <xf numFmtId="0" fontId="16" fillId="0" borderId="30" applyNumberFormat="0" applyFill="0" applyAlignment="0" applyProtection="0"/>
    <xf numFmtId="0" fontId="17" fillId="8" borderId="31" applyNumberFormat="0" applyAlignment="0" applyProtection="0"/>
    <xf numFmtId="0" fontId="18" fillId="0" borderId="0" applyNumberFormat="0" applyFill="0" applyBorder="0" applyAlignment="0" applyProtection="0"/>
    <xf numFmtId="0" fontId="5" fillId="9" borderId="32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3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</cellStyleXfs>
  <cellXfs count="24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/>
    <xf numFmtId="0" fontId="0" fillId="0" borderId="2" xfId="0" applyFont="1" applyBorder="1"/>
    <xf numFmtId="3" fontId="4" fillId="0" borderId="1" xfId="1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3" fontId="4" fillId="0" borderId="4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/>
    <xf numFmtId="0" fontId="0" fillId="0" borderId="6" xfId="0" applyNumberFormat="1" applyFont="1" applyFill="1" applyBorder="1" applyAlignment="1" applyProtection="1">
      <alignment horizontal="center"/>
    </xf>
    <xf numFmtId="0" fontId="0" fillId="0" borderId="7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8" xfId="0" applyNumberFormat="1" applyFont="1" applyFill="1" applyBorder="1" applyAlignment="1" applyProtection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6" xfId="0" applyFont="1" applyBorder="1"/>
    <xf numFmtId="0" fontId="0" fillId="0" borderId="8" xfId="0" applyFont="1" applyBorder="1"/>
    <xf numFmtId="0" fontId="0" fillId="0" borderId="7" xfId="0" applyFont="1" applyBorder="1"/>
    <xf numFmtId="49" fontId="4" fillId="0" borderId="0" xfId="0" applyNumberFormat="1" applyFont="1" applyAlignment="1">
      <alignment horizontal="left"/>
    </xf>
    <xf numFmtId="0" fontId="0" fillId="0" borderId="9" xfId="0" applyNumberFormat="1" applyFont="1" applyFill="1" applyBorder="1" applyAlignment="1" applyProtection="1">
      <alignment horizontal="center"/>
    </xf>
    <xf numFmtId="3" fontId="0" fillId="0" borderId="9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37" fontId="0" fillId="0" borderId="9" xfId="0" applyNumberFormat="1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37" fontId="0" fillId="0" borderId="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left"/>
    </xf>
    <xf numFmtId="3" fontId="1" fillId="0" borderId="10" xfId="0" applyNumberFormat="1" applyFont="1" applyBorder="1" applyAlignment="1">
      <alignment horizontal="center"/>
    </xf>
    <xf numFmtId="37" fontId="2" fillId="0" borderId="10" xfId="0" applyNumberFormat="1" applyFont="1" applyBorder="1" applyAlignment="1">
      <alignment horizontal="center"/>
    </xf>
    <xf numFmtId="3" fontId="0" fillId="0" borderId="11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left"/>
    </xf>
    <xf numFmtId="37" fontId="2" fillId="0" borderId="0" xfId="0" applyNumberFormat="1" applyFont="1" applyBorder="1" applyAlignment="1">
      <alignment horizontal="center"/>
    </xf>
    <xf numFmtId="37" fontId="4" fillId="0" borderId="0" xfId="0" applyNumberFormat="1" applyFont="1" applyBorder="1" applyAlignment="1">
      <alignment horizontal="center"/>
    </xf>
    <xf numFmtId="37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1" xfId="0" applyNumberFormat="1" applyFont="1" applyFill="1" applyBorder="1" applyAlignment="1" applyProtection="1">
      <alignment horizontal="center"/>
    </xf>
    <xf numFmtId="0" fontId="0" fillId="0" borderId="4" xfId="0" applyNumberFormat="1" applyFont="1" applyFill="1" applyBorder="1" applyAlignment="1" applyProtection="1">
      <alignment horizontal="center"/>
    </xf>
    <xf numFmtId="0" fontId="0" fillId="0" borderId="5" xfId="0" applyNumberFormat="1" applyFont="1" applyFill="1" applyBorder="1" applyAlignment="1" applyProtection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0" fillId="2" borderId="0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/>
    <xf numFmtId="0" fontId="1" fillId="2" borderId="8" xfId="0" applyFont="1" applyFill="1" applyBorder="1" applyAlignment="1"/>
    <xf numFmtId="0" fontId="1" fillId="2" borderId="18" xfId="0" applyFont="1" applyFill="1" applyBorder="1" applyAlignment="1"/>
    <xf numFmtId="0" fontId="1" fillId="2" borderId="1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2" borderId="17" xfId="0" applyFont="1" applyFill="1" applyBorder="1"/>
    <xf numFmtId="0" fontId="0" fillId="2" borderId="13" xfId="0" applyFont="1" applyFill="1" applyBorder="1"/>
    <xf numFmtId="0" fontId="0" fillId="2" borderId="15" xfId="0" applyFont="1" applyFill="1" applyBorder="1"/>
    <xf numFmtId="0" fontId="0" fillId="2" borderId="19" xfId="0" applyFont="1" applyFill="1" applyBorder="1"/>
    <xf numFmtId="0" fontId="0" fillId="2" borderId="18" xfId="0" applyFont="1" applyFill="1" applyBorder="1"/>
    <xf numFmtId="164" fontId="0" fillId="2" borderId="13" xfId="0" applyNumberFormat="1" applyFont="1" applyFill="1" applyBorder="1" applyAlignment="1">
      <alignment horizontal="center"/>
    </xf>
    <xf numFmtId="164" fontId="0" fillId="2" borderId="14" xfId="0" applyNumberFormat="1" applyFont="1" applyFill="1" applyBorder="1" applyAlignment="1">
      <alignment horizontal="center"/>
    </xf>
    <xf numFmtId="164" fontId="0" fillId="2" borderId="15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3" fontId="0" fillId="0" borderId="0" xfId="0" applyNumberFormat="1" applyFont="1" applyBorder="1"/>
    <xf numFmtId="37" fontId="4" fillId="0" borderId="0" xfId="0" applyNumberFormat="1" applyFont="1" applyAlignment="1">
      <alignment horizontal="left"/>
    </xf>
    <xf numFmtId="3" fontId="0" fillId="0" borderId="12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" fillId="0" borderId="3" xfId="0" applyFont="1" applyBorder="1"/>
    <xf numFmtId="0" fontId="1" fillId="2" borderId="19" xfId="0" applyFont="1" applyFill="1" applyBorder="1" applyAlignment="1"/>
    <xf numFmtId="0" fontId="1" fillId="2" borderId="19" xfId="0" applyFont="1" applyFill="1" applyBorder="1"/>
    <xf numFmtId="0" fontId="1" fillId="2" borderId="18" xfId="0" applyFont="1" applyFill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3" fontId="0" fillId="0" borderId="11" xfId="0" applyNumberFormat="1" applyFont="1" applyFill="1" applyBorder="1" applyAlignment="1" applyProtection="1">
      <alignment horizontal="center"/>
    </xf>
    <xf numFmtId="3" fontId="0" fillId="0" borderId="9" xfId="0" applyNumberFormat="1" applyFont="1" applyFill="1" applyBorder="1" applyAlignment="1" applyProtection="1">
      <alignment horizontal="center"/>
      <protection locked="0"/>
    </xf>
    <xf numFmtId="3" fontId="0" fillId="0" borderId="11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/>
    <xf numFmtId="0" fontId="1" fillId="2" borderId="1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3" xfId="0" applyFont="1" applyFill="1" applyBorder="1" applyAlignment="1"/>
    <xf numFmtId="0" fontId="1" fillId="2" borderId="15" xfId="0" applyFont="1" applyFill="1" applyBorder="1" applyAlignment="1"/>
    <xf numFmtId="0" fontId="0" fillId="2" borderId="16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center" vertical="top" wrapText="1"/>
    </xf>
    <xf numFmtId="3" fontId="4" fillId="0" borderId="4" xfId="1" applyNumberFormat="1" applyFont="1" applyBorder="1" applyAlignment="1">
      <alignment horizontal="center" vertical="top" wrapText="1"/>
    </xf>
    <xf numFmtId="3" fontId="4" fillId="0" borderId="5" xfId="1" applyNumberFormat="1" applyFont="1" applyBorder="1" applyAlignment="1">
      <alignment horizontal="center" vertical="top" wrapText="1"/>
    </xf>
    <xf numFmtId="3" fontId="0" fillId="0" borderId="9" xfId="0" applyNumberFormat="1" applyFont="1" applyFill="1" applyBorder="1" applyAlignment="1" applyProtection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0" fillId="2" borderId="19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4" xfId="0" applyFont="1" applyFill="1" applyBorder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2" borderId="13" xfId="0" applyFill="1" applyBorder="1"/>
    <xf numFmtId="0" fontId="0" fillId="2" borderId="15" xfId="0" applyFill="1" applyBorder="1"/>
    <xf numFmtId="0" fontId="0" fillId="2" borderId="19" xfId="0" applyFill="1" applyBorder="1"/>
    <xf numFmtId="0" fontId="0" fillId="2" borderId="18" xfId="0" applyFill="1" applyBorder="1"/>
    <xf numFmtId="0" fontId="0" fillId="2" borderId="14" xfId="0" applyFill="1" applyBorder="1"/>
    <xf numFmtId="0" fontId="0" fillId="2" borderId="0" xfId="0" applyFill="1" applyBorder="1"/>
    <xf numFmtId="0" fontId="0" fillId="0" borderId="3" xfId="0" applyBorder="1" applyAlignment="1">
      <alignment horizontal="center"/>
    </xf>
    <xf numFmtId="0" fontId="0" fillId="0" borderId="8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1" fillId="2" borderId="16" xfId="0" applyFont="1" applyFill="1" applyBorder="1" applyAlignment="1"/>
    <xf numFmtId="0" fontId="1" fillId="2" borderId="17" xfId="0" applyFont="1" applyFill="1" applyBorder="1" applyAlignment="1"/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top" wrapText="1"/>
    </xf>
    <xf numFmtId="3" fontId="4" fillId="0" borderId="4" xfId="1" applyNumberFormat="1" applyFont="1" applyFill="1" applyBorder="1" applyAlignment="1">
      <alignment horizontal="center" vertical="top" wrapText="1"/>
    </xf>
    <xf numFmtId="3" fontId="4" fillId="0" borderId="5" xfId="1" applyNumberFormat="1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1" fillId="2" borderId="1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3" fontId="0" fillId="0" borderId="0" xfId="0" applyNumberFormat="1"/>
    <xf numFmtId="0" fontId="0" fillId="2" borderId="8" xfId="0" applyFill="1" applyBorder="1"/>
    <xf numFmtId="0" fontId="1" fillId="2" borderId="19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0" fillId="0" borderId="21" xfId="0" applyBorder="1"/>
    <xf numFmtId="0" fontId="0" fillId="0" borderId="20" xfId="0" applyBorder="1"/>
    <xf numFmtId="0" fontId="0" fillId="0" borderId="0" xfId="0"/>
    <xf numFmtId="0" fontId="0" fillId="0" borderId="0" xfId="0" applyFont="1"/>
    <xf numFmtId="0" fontId="0" fillId="0" borderId="2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20" xfId="0" applyFont="1" applyBorder="1" applyAlignment="1"/>
    <xf numFmtId="0" fontId="1" fillId="2" borderId="24" xfId="0" applyFont="1" applyFill="1" applyBorder="1" applyAlignment="1"/>
    <xf numFmtId="0" fontId="0" fillId="0" borderId="22" xfId="0" applyFont="1" applyBorder="1" applyAlignment="1">
      <alignment horizontal="center"/>
    </xf>
    <xf numFmtId="0" fontId="1" fillId="2" borderId="23" xfId="0" applyFont="1" applyFill="1" applyBorder="1" applyAlignment="1"/>
    <xf numFmtId="0" fontId="1" fillId="0" borderId="20" xfId="0" applyFont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0" fillId="0" borderId="34" xfId="0" applyFill="1" applyBorder="1"/>
    <xf numFmtId="164" fontId="2" fillId="2" borderId="16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2" fillId="2" borderId="17" xfId="0" applyNumberFormat="1" applyFont="1" applyFill="1" applyBorder="1" applyAlignment="1">
      <alignment horizontal="center"/>
    </xf>
    <xf numFmtId="37" fontId="0" fillId="0" borderId="11" xfId="0" applyNumberFormat="1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10" fontId="0" fillId="0" borderId="0" xfId="0" applyNumberFormat="1" applyFont="1"/>
    <xf numFmtId="10" fontId="0" fillId="0" borderId="0" xfId="0" applyNumberFormat="1" applyFont="1" applyAlignment="1">
      <alignment horizontal="center"/>
    </xf>
    <xf numFmtId="3" fontId="0" fillId="0" borderId="23" xfId="0" applyNumberFormat="1" applyFont="1" applyFill="1" applyBorder="1" applyAlignment="1">
      <alignment horizontal="center"/>
    </xf>
    <xf numFmtId="3" fontId="0" fillId="0" borderId="36" xfId="0" applyNumberFormat="1" applyFont="1" applyBorder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3" fontId="0" fillId="0" borderId="34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3" fontId="0" fillId="0" borderId="24" xfId="0" applyNumberFormat="1" applyFont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2" fillId="0" borderId="0" xfId="1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/>
    </xf>
    <xf numFmtId="164" fontId="1" fillId="2" borderId="14" xfId="0" applyNumberFormat="1" applyFon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0" fontId="0" fillId="0" borderId="35" xfId="0" applyFont="1" applyBorder="1" applyAlignment="1">
      <alignment horizontal="center" vertical="center"/>
    </xf>
    <xf numFmtId="3" fontId="0" fillId="0" borderId="35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T799"/>
  <sheetViews>
    <sheetView tabSelected="1"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A44" sqref="A44"/>
    </sheetView>
  </sheetViews>
  <sheetFormatPr defaultRowHeight="15" x14ac:dyDescent="0.25"/>
  <cols>
    <col min="1" max="1" width="22.7109375" style="1" customWidth="1"/>
    <col min="2" max="2" width="1.7109375" style="1" customWidth="1"/>
    <col min="3" max="6" width="14" style="1" customWidth="1"/>
    <col min="7" max="7" width="14.7109375" style="1" customWidth="1"/>
    <col min="8" max="8" width="1.7109375" style="1" customWidth="1"/>
    <col min="9" max="10" width="14" style="1" customWidth="1"/>
    <col min="11" max="11" width="1.7109375" style="1" customWidth="1"/>
    <col min="12" max="16" width="14" style="2" customWidth="1"/>
    <col min="17" max="17" width="15.42578125" style="2" customWidth="1"/>
    <col min="18" max="18" width="1.7109375" style="1" customWidth="1"/>
    <col min="19" max="20" width="15.42578125" style="1" bestFit="1" customWidth="1"/>
    <col min="21" max="21" width="1.7109375" style="1" customWidth="1"/>
    <col min="22" max="22" width="16.28515625" style="2" bestFit="1" customWidth="1"/>
    <col min="23" max="23" width="15.42578125" style="2" bestFit="1" customWidth="1"/>
    <col min="24" max="25" width="15.42578125" style="2" customWidth="1"/>
    <col min="26" max="26" width="1.7109375" style="1" customWidth="1"/>
    <col min="27" max="27" width="15.42578125" style="2" customWidth="1"/>
    <col min="28" max="28" width="15.42578125" style="2" bestFit="1" customWidth="1"/>
    <col min="29" max="29" width="1.7109375" style="1" customWidth="1"/>
    <col min="30" max="33" width="11.85546875" style="2" customWidth="1"/>
    <col min="34" max="34" width="1.7109375" style="1" customWidth="1"/>
    <col min="35" max="36" width="15.42578125" style="2" customWidth="1"/>
    <col min="37" max="37" width="15.42578125" style="1" customWidth="1"/>
    <col min="38" max="38" width="1.7109375" style="1" customWidth="1"/>
    <col min="39" max="42" width="13.7109375" style="1" customWidth="1"/>
    <col min="43" max="43" width="1.7109375" style="1" customWidth="1"/>
    <col min="44" max="45" width="12" style="1" customWidth="1"/>
    <col min="46" max="46" width="1.7109375" style="1" customWidth="1"/>
    <col min="47" max="47" width="16.28515625" style="1" bestFit="1" customWidth="1"/>
    <col min="48" max="48" width="15.42578125" style="1" bestFit="1" customWidth="1"/>
    <col min="49" max="49" width="1.7109375" style="1" customWidth="1"/>
    <col min="50" max="51" width="10.7109375" style="1" customWidth="1"/>
    <col min="52" max="52" width="1.7109375" style="1" customWidth="1"/>
    <col min="53" max="53" width="16.28515625" style="1" bestFit="1" customWidth="1"/>
    <col min="54" max="54" width="15.42578125" style="1" bestFit="1" customWidth="1"/>
    <col min="55" max="55" width="1.7109375" style="1" customWidth="1"/>
    <col min="56" max="57" width="10.7109375" style="1" customWidth="1"/>
    <col min="58" max="58" width="1.7109375" style="1" customWidth="1"/>
    <col min="59" max="60" width="9.28515625" style="1" customWidth="1"/>
    <col min="61" max="61" width="1.7109375" style="1" customWidth="1"/>
    <col min="62" max="63" width="9.28515625" style="1" customWidth="1"/>
    <col min="64" max="64" width="1.7109375" style="1" customWidth="1"/>
    <col min="65" max="65" width="12.28515625" style="3" customWidth="1"/>
    <col min="66" max="66" width="10.5703125" style="3" bestFit="1" customWidth="1"/>
    <col min="67" max="67" width="9.42578125" style="3" bestFit="1" customWidth="1"/>
    <col min="68" max="68" width="13" style="3" bestFit="1" customWidth="1"/>
    <col min="69" max="69" width="10.7109375" style="3" customWidth="1"/>
    <col min="70" max="70" width="10.5703125" style="3" bestFit="1" customWidth="1"/>
    <col min="71" max="71" width="9.140625" style="211"/>
    <col min="72" max="16384" width="9.140625" style="1"/>
  </cols>
  <sheetData>
    <row r="2" spans="1:71" x14ac:dyDescent="0.25">
      <c r="C2" s="224"/>
      <c r="D2" s="225"/>
      <c r="E2" s="225"/>
      <c r="F2" s="225"/>
      <c r="G2" s="226"/>
      <c r="H2" s="2"/>
      <c r="I2" s="224" t="s">
        <v>1</v>
      </c>
      <c r="J2" s="225"/>
      <c r="K2" s="225"/>
      <c r="L2" s="225"/>
      <c r="M2" s="225"/>
      <c r="N2" s="225"/>
      <c r="O2" s="225"/>
      <c r="P2" s="225"/>
      <c r="Q2" s="226"/>
      <c r="S2" s="224" t="s">
        <v>2</v>
      </c>
      <c r="T2" s="225"/>
      <c r="U2" s="225"/>
      <c r="V2" s="225"/>
      <c r="W2" s="225"/>
      <c r="X2" s="225"/>
      <c r="Y2" s="226"/>
      <c r="Z2" s="62"/>
      <c r="AA2" s="224" t="s">
        <v>3</v>
      </c>
      <c r="AB2" s="225"/>
      <c r="AC2" s="225"/>
      <c r="AD2" s="225"/>
      <c r="AE2" s="225"/>
      <c r="AF2" s="225"/>
      <c r="AG2" s="226"/>
      <c r="AH2" s="62"/>
      <c r="AI2" s="224" t="s">
        <v>4</v>
      </c>
      <c r="AJ2" s="225"/>
      <c r="AK2" s="225"/>
      <c r="AL2" s="225"/>
      <c r="AM2" s="225"/>
      <c r="AN2" s="225"/>
      <c r="AO2" s="225"/>
      <c r="AP2" s="226"/>
      <c r="AR2" s="80"/>
      <c r="AS2" s="81"/>
      <c r="AU2" s="80"/>
      <c r="AV2" s="81"/>
      <c r="AX2" s="80"/>
      <c r="AY2" s="81"/>
      <c r="BA2" s="224" t="s">
        <v>124</v>
      </c>
      <c r="BB2" s="226"/>
      <c r="BD2" s="80"/>
      <c r="BE2" s="81"/>
      <c r="BG2" s="80"/>
      <c r="BH2" s="81"/>
      <c r="BJ2" s="80"/>
      <c r="BK2" s="81"/>
      <c r="BM2" s="84"/>
      <c r="BN2" s="85"/>
      <c r="BO2" s="85"/>
      <c r="BP2" s="85"/>
      <c r="BQ2" s="85"/>
      <c r="BR2" s="86"/>
    </row>
    <row r="3" spans="1:71" x14ac:dyDescent="0.25">
      <c r="C3" s="222" t="s">
        <v>46</v>
      </c>
      <c r="D3" s="227"/>
      <c r="E3" s="227"/>
      <c r="F3" s="227"/>
      <c r="G3" s="223"/>
      <c r="H3" s="2"/>
      <c r="I3" s="222" t="s">
        <v>88</v>
      </c>
      <c r="J3" s="227"/>
      <c r="K3" s="64"/>
      <c r="L3" s="227" t="s">
        <v>0</v>
      </c>
      <c r="M3" s="227"/>
      <c r="N3" s="227"/>
      <c r="O3" s="227"/>
      <c r="P3" s="227"/>
      <c r="Q3" s="223"/>
      <c r="S3" s="222" t="s">
        <v>88</v>
      </c>
      <c r="T3" s="227"/>
      <c r="U3" s="64"/>
      <c r="V3" s="227" t="s">
        <v>0</v>
      </c>
      <c r="W3" s="227"/>
      <c r="X3" s="227"/>
      <c r="Y3" s="223"/>
      <c r="Z3" s="62"/>
      <c r="AA3" s="222" t="s">
        <v>88</v>
      </c>
      <c r="AB3" s="227"/>
      <c r="AC3" s="67"/>
      <c r="AD3" s="227" t="s">
        <v>0</v>
      </c>
      <c r="AE3" s="227"/>
      <c r="AF3" s="227"/>
      <c r="AG3" s="223"/>
      <c r="AH3" s="62"/>
      <c r="AI3" s="222" t="s">
        <v>88</v>
      </c>
      <c r="AJ3" s="227"/>
      <c r="AK3" s="227"/>
      <c r="AL3" s="64"/>
      <c r="AM3" s="227" t="s">
        <v>0</v>
      </c>
      <c r="AN3" s="227"/>
      <c r="AO3" s="227"/>
      <c r="AP3" s="223"/>
      <c r="AR3" s="222" t="s">
        <v>121</v>
      </c>
      <c r="AS3" s="223"/>
      <c r="AU3" s="222" t="s">
        <v>122</v>
      </c>
      <c r="AV3" s="223"/>
      <c r="AX3" s="222" t="s">
        <v>123</v>
      </c>
      <c r="AY3" s="223"/>
      <c r="BA3" s="222" t="s">
        <v>259</v>
      </c>
      <c r="BB3" s="223"/>
      <c r="BC3" s="4"/>
      <c r="BD3" s="222" t="s">
        <v>125</v>
      </c>
      <c r="BE3" s="223"/>
      <c r="BF3" s="4"/>
      <c r="BG3" s="222" t="s">
        <v>126</v>
      </c>
      <c r="BH3" s="223"/>
      <c r="BI3" s="4"/>
      <c r="BJ3" s="222" t="s">
        <v>127</v>
      </c>
      <c r="BK3" s="223"/>
      <c r="BM3" s="219" t="s">
        <v>5</v>
      </c>
      <c r="BN3" s="220"/>
      <c r="BO3" s="220"/>
      <c r="BP3" s="220"/>
      <c r="BQ3" s="220"/>
      <c r="BR3" s="221"/>
    </row>
    <row r="4" spans="1:71" ht="5.0999999999999996" customHeight="1" thickBot="1" x14ac:dyDescent="0.3">
      <c r="C4" s="76"/>
      <c r="D4" s="71"/>
      <c r="E4" s="71"/>
      <c r="F4" s="71"/>
      <c r="G4" s="72"/>
      <c r="H4" s="2"/>
      <c r="I4" s="65"/>
      <c r="J4" s="66"/>
      <c r="K4" s="64"/>
      <c r="L4" s="73"/>
      <c r="M4" s="73"/>
      <c r="N4" s="73"/>
      <c r="O4" s="73"/>
      <c r="P4" s="73"/>
      <c r="Q4" s="74"/>
      <c r="S4" s="65"/>
      <c r="T4" s="66"/>
      <c r="U4" s="64"/>
      <c r="V4" s="68"/>
      <c r="W4" s="68"/>
      <c r="X4" s="68"/>
      <c r="Y4" s="69"/>
      <c r="AA4" s="75"/>
      <c r="AB4" s="73"/>
      <c r="AC4" s="64"/>
      <c r="AD4" s="73"/>
      <c r="AE4" s="73"/>
      <c r="AF4" s="73"/>
      <c r="AG4" s="74"/>
      <c r="AH4" s="62"/>
      <c r="AI4" s="75"/>
      <c r="AJ4" s="73"/>
      <c r="AK4" s="64"/>
      <c r="AL4" s="64"/>
      <c r="AM4" s="64"/>
      <c r="AN4" s="64"/>
      <c r="AO4" s="64"/>
      <c r="AP4" s="79"/>
      <c r="AR4" s="82"/>
      <c r="AS4" s="83"/>
      <c r="AU4" s="82"/>
      <c r="AV4" s="83"/>
      <c r="AX4" s="82"/>
      <c r="AY4" s="83"/>
      <c r="BA4" s="82"/>
      <c r="BB4" s="83"/>
      <c r="BD4" s="82"/>
      <c r="BE4" s="83"/>
      <c r="BG4" s="75"/>
      <c r="BH4" s="74"/>
      <c r="BJ4" s="75"/>
      <c r="BK4" s="74"/>
      <c r="BM4" s="204"/>
      <c r="BN4" s="205"/>
      <c r="BO4" s="205"/>
      <c r="BP4" s="205"/>
      <c r="BQ4" s="205"/>
      <c r="BR4" s="206"/>
    </row>
    <row r="5" spans="1:71" ht="12.75" customHeight="1" x14ac:dyDescent="0.25">
      <c r="C5" s="5"/>
      <c r="D5" s="8"/>
      <c r="E5" s="8"/>
      <c r="F5" s="8"/>
      <c r="G5" s="6"/>
      <c r="H5" s="7"/>
      <c r="I5" s="5"/>
      <c r="J5" s="6"/>
      <c r="K5" s="9"/>
      <c r="L5" s="10"/>
      <c r="M5" s="11"/>
      <c r="N5" s="11"/>
      <c r="O5" s="11"/>
      <c r="P5" s="11"/>
      <c r="Q5" s="12"/>
      <c r="R5" s="9"/>
      <c r="S5" s="5"/>
      <c r="T5" s="6"/>
      <c r="U5" s="9"/>
      <c r="V5" s="10"/>
      <c r="W5" s="11"/>
      <c r="X5" s="11"/>
      <c r="Y5" s="12"/>
      <c r="Z5" s="9"/>
      <c r="AA5" s="10"/>
      <c r="AB5" s="12"/>
      <c r="AC5" s="9"/>
      <c r="AD5" s="10"/>
      <c r="AE5" s="11"/>
      <c r="AF5" s="11"/>
      <c r="AG5" s="12"/>
      <c r="AH5" s="62"/>
      <c r="AI5" s="10"/>
      <c r="AJ5" s="11"/>
      <c r="AK5" s="15"/>
      <c r="AL5" s="9"/>
      <c r="AM5" s="13"/>
      <c r="AN5" s="14"/>
      <c r="AO5" s="14"/>
      <c r="AP5" s="15"/>
      <c r="AQ5" s="9"/>
      <c r="AR5" s="13"/>
      <c r="AS5" s="15"/>
      <c r="AT5" s="9"/>
      <c r="AU5" s="13"/>
      <c r="AV5" s="15"/>
      <c r="AW5" s="9"/>
      <c r="AX5" s="13"/>
      <c r="AY5" s="15"/>
      <c r="AZ5" s="9"/>
      <c r="BA5" s="13"/>
      <c r="BB5" s="15"/>
      <c r="BC5" s="9"/>
      <c r="BD5" s="13"/>
      <c r="BE5" s="15"/>
      <c r="BF5" s="9"/>
      <c r="BG5" s="10"/>
      <c r="BH5" s="12"/>
      <c r="BI5" s="9"/>
      <c r="BJ5" s="10"/>
      <c r="BK5" s="12"/>
      <c r="BM5" s="16"/>
      <c r="BN5" s="17"/>
      <c r="BO5" s="17"/>
      <c r="BP5" s="17"/>
      <c r="BQ5" s="17"/>
      <c r="BR5" s="18"/>
    </row>
    <row r="6" spans="1:71" s="2" customFormat="1" x14ac:dyDescent="0.25">
      <c r="A6" s="228" t="s">
        <v>6</v>
      </c>
      <c r="B6" s="19"/>
      <c r="C6" s="20" t="s">
        <v>47</v>
      </c>
      <c r="D6" s="7" t="s">
        <v>49</v>
      </c>
      <c r="E6" s="7" t="s">
        <v>51</v>
      </c>
      <c r="F6" s="7" t="s">
        <v>55</v>
      </c>
      <c r="G6" s="21" t="s">
        <v>57</v>
      </c>
      <c r="H6" s="7"/>
      <c r="I6" s="20" t="s">
        <v>73</v>
      </c>
      <c r="J6" s="21" t="s">
        <v>75</v>
      </c>
      <c r="K6" s="7"/>
      <c r="L6" s="20" t="s">
        <v>77</v>
      </c>
      <c r="M6" s="7" t="s">
        <v>81</v>
      </c>
      <c r="N6" s="7" t="s">
        <v>79</v>
      </c>
      <c r="O6" s="7" t="s">
        <v>83</v>
      </c>
      <c r="P6" s="7" t="s">
        <v>73</v>
      </c>
      <c r="Q6" s="21" t="s">
        <v>86</v>
      </c>
      <c r="R6" s="7"/>
      <c r="S6" s="20" t="s">
        <v>62</v>
      </c>
      <c r="T6" s="21" t="s">
        <v>62</v>
      </c>
      <c r="U6" s="7"/>
      <c r="V6" s="20" t="s">
        <v>65</v>
      </c>
      <c r="W6" s="7" t="s">
        <v>67</v>
      </c>
      <c r="X6" s="7" t="s">
        <v>69</v>
      </c>
      <c r="Y6" s="21" t="s">
        <v>71</v>
      </c>
      <c r="Z6" s="7"/>
      <c r="AA6" s="20" t="s">
        <v>89</v>
      </c>
      <c r="AB6" s="21" t="s">
        <v>91</v>
      </c>
      <c r="AC6" s="7"/>
      <c r="AD6" s="20" t="s">
        <v>73</v>
      </c>
      <c r="AE6" s="7" t="s">
        <v>94</v>
      </c>
      <c r="AF6" s="7" t="s">
        <v>96</v>
      </c>
      <c r="AG6" s="21" t="s">
        <v>98</v>
      </c>
      <c r="AH6" s="7"/>
      <c r="AI6" s="20" t="s">
        <v>100</v>
      </c>
      <c r="AJ6" s="7" t="s">
        <v>102</v>
      </c>
      <c r="AK6" s="21" t="s">
        <v>104</v>
      </c>
      <c r="AL6" s="7"/>
      <c r="AM6" s="20" t="s">
        <v>106</v>
      </c>
      <c r="AN6" s="7" t="s">
        <v>108</v>
      </c>
      <c r="AO6" s="7" t="s">
        <v>110</v>
      </c>
      <c r="AP6" s="21" t="s">
        <v>112</v>
      </c>
      <c r="AQ6" s="7"/>
      <c r="AR6" s="20" t="s">
        <v>117</v>
      </c>
      <c r="AS6" s="21" t="s">
        <v>119</v>
      </c>
      <c r="AT6" s="7"/>
      <c r="AU6" s="20" t="s">
        <v>128</v>
      </c>
      <c r="AV6" s="21" t="s">
        <v>130</v>
      </c>
      <c r="AW6" s="7"/>
      <c r="AX6" s="20" t="s">
        <v>132</v>
      </c>
      <c r="AY6" s="21" t="s">
        <v>134</v>
      </c>
      <c r="AZ6" s="7"/>
      <c r="BA6" s="20" t="s">
        <v>136</v>
      </c>
      <c r="BB6" s="21" t="s">
        <v>138</v>
      </c>
      <c r="BC6" s="7"/>
      <c r="BD6" s="20" t="s">
        <v>140</v>
      </c>
      <c r="BE6" s="21" t="s">
        <v>142</v>
      </c>
      <c r="BF6" s="7"/>
      <c r="BG6" s="229" t="s">
        <v>9</v>
      </c>
      <c r="BH6" s="230" t="s">
        <v>10</v>
      </c>
      <c r="BI6" s="7"/>
      <c r="BJ6" s="229" t="s">
        <v>9</v>
      </c>
      <c r="BK6" s="230" t="s">
        <v>10</v>
      </c>
      <c r="BM6" s="22" t="s">
        <v>7</v>
      </c>
      <c r="BN6" s="23" t="s">
        <v>8</v>
      </c>
      <c r="BO6" s="23" t="s">
        <v>8</v>
      </c>
      <c r="BP6" s="23" t="s">
        <v>8</v>
      </c>
      <c r="BQ6" s="23" t="s">
        <v>8</v>
      </c>
      <c r="BR6" s="24" t="s">
        <v>8</v>
      </c>
      <c r="BS6" s="212"/>
    </row>
    <row r="7" spans="1:71" s="2" customFormat="1" ht="15" customHeight="1" x14ac:dyDescent="0.25">
      <c r="A7" s="228"/>
      <c r="B7" s="19"/>
      <c r="C7" s="20" t="s">
        <v>48</v>
      </c>
      <c r="D7" s="7" t="s">
        <v>50</v>
      </c>
      <c r="E7" s="7" t="s">
        <v>52</v>
      </c>
      <c r="F7" s="7" t="s">
        <v>56</v>
      </c>
      <c r="G7" s="21" t="s">
        <v>58</v>
      </c>
      <c r="H7" s="7"/>
      <c r="I7" s="20" t="s">
        <v>74</v>
      </c>
      <c r="J7" s="21" t="s">
        <v>76</v>
      </c>
      <c r="K7" s="7"/>
      <c r="L7" s="20" t="s">
        <v>78</v>
      </c>
      <c r="M7" s="7" t="s">
        <v>82</v>
      </c>
      <c r="N7" s="7" t="s">
        <v>80</v>
      </c>
      <c r="O7" s="7" t="s">
        <v>84</v>
      </c>
      <c r="P7" s="7" t="s">
        <v>85</v>
      </c>
      <c r="Q7" s="21" t="s">
        <v>87</v>
      </c>
      <c r="R7" s="7"/>
      <c r="S7" s="20" t="s">
        <v>63</v>
      </c>
      <c r="T7" s="21" t="s">
        <v>64</v>
      </c>
      <c r="U7" s="7"/>
      <c r="V7" s="20" t="s">
        <v>66</v>
      </c>
      <c r="W7" s="7" t="s">
        <v>68</v>
      </c>
      <c r="X7" s="7" t="s">
        <v>70</v>
      </c>
      <c r="Y7" s="21" t="s">
        <v>72</v>
      </c>
      <c r="Z7" s="7"/>
      <c r="AA7" s="20" t="s">
        <v>90</v>
      </c>
      <c r="AB7" s="21" t="s">
        <v>92</v>
      </c>
      <c r="AC7" s="7"/>
      <c r="AD7" s="20" t="s">
        <v>93</v>
      </c>
      <c r="AE7" s="7" t="s">
        <v>95</v>
      </c>
      <c r="AF7" s="7" t="s">
        <v>97</v>
      </c>
      <c r="AG7" s="21" t="s">
        <v>99</v>
      </c>
      <c r="AH7" s="7"/>
      <c r="AI7" s="20" t="s">
        <v>101</v>
      </c>
      <c r="AJ7" s="7" t="s">
        <v>103</v>
      </c>
      <c r="AK7" s="21" t="s">
        <v>105</v>
      </c>
      <c r="AL7" s="7"/>
      <c r="AM7" s="20" t="s">
        <v>107</v>
      </c>
      <c r="AN7" s="7" t="s">
        <v>109</v>
      </c>
      <c r="AO7" s="7" t="s">
        <v>111</v>
      </c>
      <c r="AP7" s="21" t="s">
        <v>114</v>
      </c>
      <c r="AQ7" s="7"/>
      <c r="AR7" s="20" t="s">
        <v>118</v>
      </c>
      <c r="AS7" s="21" t="s">
        <v>120</v>
      </c>
      <c r="AT7" s="7"/>
      <c r="AU7" s="20" t="s">
        <v>129</v>
      </c>
      <c r="AV7" s="21" t="s">
        <v>131</v>
      </c>
      <c r="AW7" s="7"/>
      <c r="AX7" s="20" t="s">
        <v>133</v>
      </c>
      <c r="AY7" s="21" t="s">
        <v>135</v>
      </c>
      <c r="AZ7" s="7"/>
      <c r="BA7" s="20" t="s">
        <v>137</v>
      </c>
      <c r="BB7" s="21" t="s">
        <v>139</v>
      </c>
      <c r="BC7" s="7"/>
      <c r="BD7" s="20" t="s">
        <v>141</v>
      </c>
      <c r="BE7" s="21" t="s">
        <v>143</v>
      </c>
      <c r="BF7" s="7"/>
      <c r="BG7" s="229"/>
      <c r="BH7" s="230"/>
      <c r="BI7" s="7"/>
      <c r="BJ7" s="229"/>
      <c r="BK7" s="230"/>
      <c r="BM7" s="22" t="s">
        <v>11</v>
      </c>
      <c r="BN7" s="23" t="s">
        <v>12</v>
      </c>
      <c r="BO7" s="23" t="s">
        <v>144</v>
      </c>
      <c r="BP7" s="23" t="s">
        <v>13</v>
      </c>
      <c r="BQ7" s="23" t="s">
        <v>14</v>
      </c>
      <c r="BR7" s="24" t="s">
        <v>15</v>
      </c>
      <c r="BS7" s="212"/>
    </row>
    <row r="8" spans="1:71" x14ac:dyDescent="0.25">
      <c r="A8" s="228"/>
      <c r="B8" s="19"/>
      <c r="C8" s="20" t="s">
        <v>16</v>
      </c>
      <c r="D8" s="7" t="s">
        <v>59</v>
      </c>
      <c r="E8" s="7" t="s">
        <v>53</v>
      </c>
      <c r="F8" s="7" t="s">
        <v>54</v>
      </c>
      <c r="G8" s="21" t="s">
        <v>60</v>
      </c>
      <c r="H8" s="7"/>
      <c r="I8" s="20" t="s">
        <v>16</v>
      </c>
      <c r="J8" s="21" t="s">
        <v>59</v>
      </c>
      <c r="K8" s="9"/>
      <c r="L8" s="20" t="s">
        <v>16</v>
      </c>
      <c r="M8" s="7" t="s">
        <v>16</v>
      </c>
      <c r="N8" s="7" t="s">
        <v>59</v>
      </c>
      <c r="O8" s="7" t="s">
        <v>59</v>
      </c>
      <c r="P8" s="7" t="s">
        <v>54</v>
      </c>
      <c r="Q8" s="21" t="s">
        <v>54</v>
      </c>
      <c r="R8" s="9"/>
      <c r="S8" s="20" t="s">
        <v>16</v>
      </c>
      <c r="T8" s="21" t="s">
        <v>59</v>
      </c>
      <c r="U8" s="9"/>
      <c r="V8" s="20" t="s">
        <v>16</v>
      </c>
      <c r="W8" s="7" t="s">
        <v>16</v>
      </c>
      <c r="X8" s="7" t="s">
        <v>59</v>
      </c>
      <c r="Y8" s="21" t="s">
        <v>59</v>
      </c>
      <c r="Z8" s="9"/>
      <c r="AA8" s="20" t="s">
        <v>16</v>
      </c>
      <c r="AB8" s="21" t="s">
        <v>59</v>
      </c>
      <c r="AC8" s="9"/>
      <c r="AD8" s="20" t="s">
        <v>16</v>
      </c>
      <c r="AE8" s="7" t="s">
        <v>16</v>
      </c>
      <c r="AF8" s="7" t="s">
        <v>59</v>
      </c>
      <c r="AG8" s="21" t="s">
        <v>59</v>
      </c>
      <c r="AH8" s="9"/>
      <c r="AI8" s="20" t="s">
        <v>16</v>
      </c>
      <c r="AJ8" s="7" t="s">
        <v>59</v>
      </c>
      <c r="AK8" s="25" t="s">
        <v>115</v>
      </c>
      <c r="AL8" s="9"/>
      <c r="AM8" s="20" t="s">
        <v>16</v>
      </c>
      <c r="AN8" s="7" t="s">
        <v>16</v>
      </c>
      <c r="AO8" s="7" t="s">
        <v>59</v>
      </c>
      <c r="AP8" s="21" t="s">
        <v>113</v>
      </c>
      <c r="AQ8" s="9"/>
      <c r="AR8" s="20" t="s">
        <v>16</v>
      </c>
      <c r="AS8" s="21" t="s">
        <v>59</v>
      </c>
      <c r="AT8" s="9"/>
      <c r="AU8" s="20" t="s">
        <v>16</v>
      </c>
      <c r="AV8" s="21" t="s">
        <v>59</v>
      </c>
      <c r="AW8" s="9"/>
      <c r="AX8" s="20" t="s">
        <v>16</v>
      </c>
      <c r="AY8" s="21" t="s">
        <v>59</v>
      </c>
      <c r="AZ8" s="9"/>
      <c r="BA8" s="20" t="s">
        <v>16</v>
      </c>
      <c r="BB8" s="21" t="s">
        <v>59</v>
      </c>
      <c r="BC8" s="26"/>
      <c r="BD8" s="20" t="s">
        <v>16</v>
      </c>
      <c r="BE8" s="21" t="s">
        <v>59</v>
      </c>
      <c r="BF8" s="26"/>
      <c r="BG8" s="229"/>
      <c r="BH8" s="230"/>
      <c r="BI8" s="26"/>
      <c r="BJ8" s="229"/>
      <c r="BK8" s="230"/>
      <c r="BM8" s="22" t="s">
        <v>17</v>
      </c>
      <c r="BN8" s="23" t="s">
        <v>18</v>
      </c>
      <c r="BO8" s="23" t="s">
        <v>145</v>
      </c>
      <c r="BP8" s="23" t="s">
        <v>19</v>
      </c>
      <c r="BQ8" s="23" t="s">
        <v>18</v>
      </c>
      <c r="BR8" s="24" t="s">
        <v>18</v>
      </c>
    </row>
    <row r="9" spans="1:71" x14ac:dyDescent="0.25">
      <c r="A9" s="228"/>
      <c r="B9" s="19"/>
      <c r="C9" s="60"/>
      <c r="D9" s="31"/>
      <c r="E9" s="31"/>
      <c r="F9" s="31"/>
      <c r="G9" s="61" t="s">
        <v>61</v>
      </c>
      <c r="H9" s="31"/>
      <c r="I9" s="60"/>
      <c r="J9" s="61"/>
      <c r="K9" s="9"/>
      <c r="L9" s="20"/>
      <c r="M9" s="7"/>
      <c r="N9" s="7"/>
      <c r="O9" s="7"/>
      <c r="P9" s="7"/>
      <c r="Q9" s="21"/>
      <c r="R9" s="9"/>
      <c r="S9" s="60"/>
      <c r="T9" s="61"/>
      <c r="U9" s="9"/>
      <c r="V9" s="20"/>
      <c r="W9" s="7"/>
      <c r="X9" s="7"/>
      <c r="Y9" s="21"/>
      <c r="Z9" s="9"/>
      <c r="AA9" s="20"/>
      <c r="AB9" s="21"/>
      <c r="AC9" s="9"/>
      <c r="AD9" s="20"/>
      <c r="AE9" s="7"/>
      <c r="AF9" s="7"/>
      <c r="AG9" s="21"/>
      <c r="AH9" s="9"/>
      <c r="AI9" s="20"/>
      <c r="AJ9" s="7"/>
      <c r="AK9" s="21" t="s">
        <v>116</v>
      </c>
      <c r="AL9" s="9"/>
      <c r="AM9" s="27"/>
      <c r="AN9" s="9"/>
      <c r="AO9" s="9"/>
      <c r="AP9" s="21" t="s">
        <v>59</v>
      </c>
      <c r="AQ9" s="9"/>
      <c r="AR9" s="27"/>
      <c r="AS9" s="28"/>
      <c r="AT9" s="9"/>
      <c r="AU9" s="27"/>
      <c r="AV9" s="28"/>
      <c r="AW9" s="9"/>
      <c r="AX9" s="27"/>
      <c r="AY9" s="28"/>
      <c r="AZ9" s="9"/>
      <c r="BA9" s="20"/>
      <c r="BB9" s="21"/>
      <c r="BC9" s="7"/>
      <c r="BD9" s="20"/>
      <c r="BE9" s="21"/>
      <c r="BF9" s="7"/>
      <c r="BG9" s="27"/>
      <c r="BH9" s="28"/>
      <c r="BI9" s="7"/>
      <c r="BJ9" s="27"/>
      <c r="BK9" s="28"/>
      <c r="BM9" s="119"/>
      <c r="BN9" s="118"/>
      <c r="BO9" s="118"/>
      <c r="BP9" s="118"/>
      <c r="BQ9" s="118"/>
      <c r="BR9" s="120"/>
    </row>
    <row r="10" spans="1:71" ht="5.0999999999999996" customHeight="1" thickBot="1" x14ac:dyDescent="0.3">
      <c r="A10" s="19"/>
      <c r="B10" s="19"/>
      <c r="C10" s="29"/>
      <c r="D10" s="32"/>
      <c r="E10" s="32"/>
      <c r="F10" s="32"/>
      <c r="G10" s="30"/>
      <c r="H10" s="31"/>
      <c r="I10" s="29"/>
      <c r="J10" s="30"/>
      <c r="K10" s="9"/>
      <c r="L10" s="33"/>
      <c r="M10" s="34"/>
      <c r="N10" s="34"/>
      <c r="O10" s="34"/>
      <c r="P10" s="34"/>
      <c r="Q10" s="35"/>
      <c r="R10" s="9"/>
      <c r="S10" s="29"/>
      <c r="T10" s="30"/>
      <c r="U10" s="9"/>
      <c r="V10" s="33"/>
      <c r="W10" s="34"/>
      <c r="X10" s="34"/>
      <c r="Y10" s="35"/>
      <c r="Z10" s="9"/>
      <c r="AA10" s="33"/>
      <c r="AB10" s="35"/>
      <c r="AC10" s="9"/>
      <c r="AD10" s="33"/>
      <c r="AE10" s="34"/>
      <c r="AF10" s="34"/>
      <c r="AG10" s="35"/>
      <c r="AH10" s="9"/>
      <c r="AI10" s="33"/>
      <c r="AJ10" s="34"/>
      <c r="AK10" s="78"/>
      <c r="AL10" s="9"/>
      <c r="AM10" s="36"/>
      <c r="AN10" s="37"/>
      <c r="AO10" s="37"/>
      <c r="AP10" s="38"/>
      <c r="AQ10" s="9"/>
      <c r="AR10" s="36"/>
      <c r="AS10" s="38"/>
      <c r="AT10" s="9"/>
      <c r="AU10" s="36"/>
      <c r="AV10" s="38"/>
      <c r="AW10" s="9"/>
      <c r="AX10" s="36"/>
      <c r="AY10" s="38"/>
      <c r="AZ10" s="9"/>
      <c r="BA10" s="33"/>
      <c r="BB10" s="35"/>
      <c r="BC10" s="7"/>
      <c r="BD10" s="33"/>
      <c r="BE10" s="35"/>
      <c r="BF10" s="7"/>
      <c r="BG10" s="36"/>
      <c r="BH10" s="38"/>
      <c r="BI10" s="7"/>
      <c r="BJ10" s="36"/>
      <c r="BK10" s="38"/>
      <c r="BM10" s="208"/>
      <c r="BN10" s="209"/>
      <c r="BO10" s="209"/>
      <c r="BP10" s="209"/>
      <c r="BQ10" s="209"/>
      <c r="BR10" s="210"/>
    </row>
    <row r="11" spans="1:71" x14ac:dyDescent="0.25">
      <c r="A11" s="191" t="s">
        <v>20</v>
      </c>
      <c r="B11" s="39"/>
      <c r="C11" s="103">
        <v>1523</v>
      </c>
      <c r="D11" s="103">
        <v>824</v>
      </c>
      <c r="E11" s="103">
        <v>12</v>
      </c>
      <c r="F11" s="103">
        <v>6</v>
      </c>
      <c r="G11" s="103">
        <v>1</v>
      </c>
      <c r="H11" s="31"/>
      <c r="I11" s="59"/>
      <c r="J11" s="59"/>
      <c r="K11" s="2"/>
      <c r="L11" s="53"/>
      <c r="M11" s="53"/>
      <c r="N11" s="53"/>
      <c r="O11" s="53"/>
      <c r="P11" s="53"/>
      <c r="Q11" s="53"/>
      <c r="R11" s="2"/>
      <c r="S11" s="103">
        <v>1465</v>
      </c>
      <c r="T11" s="103">
        <v>870</v>
      </c>
      <c r="U11" s="2"/>
      <c r="V11" s="103">
        <v>1464</v>
      </c>
      <c r="W11" s="103">
        <v>1450</v>
      </c>
      <c r="X11" s="103">
        <v>848</v>
      </c>
      <c r="Y11" s="103">
        <v>824</v>
      </c>
      <c r="Z11" s="2"/>
      <c r="AA11" s="53"/>
      <c r="AB11" s="53"/>
      <c r="AC11" s="2"/>
      <c r="AD11" s="53"/>
      <c r="AE11" s="53"/>
      <c r="AF11" s="53"/>
      <c r="AG11" s="53"/>
      <c r="AH11" s="2"/>
      <c r="AI11" s="53"/>
      <c r="AJ11" s="53"/>
      <c r="AK11" s="77"/>
      <c r="AL11" s="2"/>
      <c r="AM11" s="77"/>
      <c r="AN11" s="77"/>
      <c r="AO11" s="77"/>
      <c r="AP11" s="77"/>
      <c r="AQ11" s="2"/>
      <c r="AR11" s="53">
        <v>1469</v>
      </c>
      <c r="AS11" s="53">
        <v>843</v>
      </c>
      <c r="AT11" s="2"/>
      <c r="AU11" s="53">
        <v>1569</v>
      </c>
      <c r="AV11" s="53">
        <v>746</v>
      </c>
      <c r="AW11" s="2"/>
      <c r="AX11" s="77"/>
      <c r="AY11" s="77"/>
      <c r="AZ11" s="2"/>
      <c r="BA11" s="53"/>
      <c r="BB11" s="53"/>
      <c r="BC11" s="2"/>
      <c r="BD11" s="53"/>
      <c r="BE11" s="53"/>
      <c r="BF11" s="2"/>
      <c r="BG11" s="53">
        <v>1100</v>
      </c>
      <c r="BH11" s="53">
        <v>974</v>
      </c>
      <c r="BI11" s="2"/>
      <c r="BJ11" s="53">
        <v>1365</v>
      </c>
      <c r="BK11" s="53">
        <v>662</v>
      </c>
      <c r="BM11" s="207">
        <v>7399</v>
      </c>
      <c r="BN11" s="207">
        <v>2388</v>
      </c>
      <c r="BO11" s="207">
        <v>290</v>
      </c>
      <c r="BP11" s="207">
        <v>517</v>
      </c>
      <c r="BQ11" s="207">
        <v>54</v>
      </c>
      <c r="BR11" s="207">
        <v>3249</v>
      </c>
      <c r="BS11" s="211">
        <v>0.4391133937018516</v>
      </c>
    </row>
    <row r="12" spans="1:71" x14ac:dyDescent="0.25">
      <c r="A12" s="191" t="s">
        <v>21</v>
      </c>
      <c r="B12" s="39"/>
      <c r="C12" s="121">
        <v>1017</v>
      </c>
      <c r="D12" s="121">
        <v>2191</v>
      </c>
      <c r="E12" s="121">
        <v>13</v>
      </c>
      <c r="F12" s="121">
        <v>16</v>
      </c>
      <c r="G12" s="121">
        <v>11</v>
      </c>
      <c r="H12" s="31"/>
      <c r="I12" s="40"/>
      <c r="J12" s="40"/>
      <c r="K12" s="2"/>
      <c r="L12" s="41"/>
      <c r="M12" s="41"/>
      <c r="N12" s="41"/>
      <c r="O12" s="41"/>
      <c r="P12" s="41"/>
      <c r="Q12" s="41"/>
      <c r="R12" s="2"/>
      <c r="S12" s="121">
        <v>959</v>
      </c>
      <c r="T12" s="121">
        <v>2117</v>
      </c>
      <c r="U12" s="2"/>
      <c r="V12" s="121">
        <v>1044</v>
      </c>
      <c r="W12" s="121">
        <v>955</v>
      </c>
      <c r="X12" s="121">
        <v>1969</v>
      </c>
      <c r="Y12" s="121">
        <v>1941</v>
      </c>
      <c r="Z12" s="2"/>
      <c r="AA12" s="41"/>
      <c r="AB12" s="41"/>
      <c r="AC12" s="2"/>
      <c r="AD12" s="41"/>
      <c r="AE12" s="41"/>
      <c r="AF12" s="41"/>
      <c r="AG12" s="41"/>
      <c r="AH12" s="2"/>
      <c r="AI12" s="41"/>
      <c r="AJ12" s="41"/>
      <c r="AK12" s="42"/>
      <c r="AL12" s="2"/>
      <c r="AM12" s="42"/>
      <c r="AN12" s="42"/>
      <c r="AO12" s="42"/>
      <c r="AP12" s="42"/>
      <c r="AQ12" s="2"/>
      <c r="AR12" s="41">
        <v>935</v>
      </c>
      <c r="AS12" s="41">
        <v>1978</v>
      </c>
      <c r="AT12" s="44"/>
      <c r="AU12" s="41">
        <v>976</v>
      </c>
      <c r="AV12" s="41">
        <v>1956</v>
      </c>
      <c r="AW12" s="2"/>
      <c r="AX12" s="41">
        <v>412</v>
      </c>
      <c r="AY12" s="41">
        <v>328</v>
      </c>
      <c r="AZ12" s="2"/>
      <c r="BA12" s="42"/>
      <c r="BB12" s="42"/>
      <c r="BC12" s="2"/>
      <c r="BD12" s="42"/>
      <c r="BE12" s="42"/>
      <c r="BF12" s="2"/>
      <c r="BG12" s="41">
        <v>1142</v>
      </c>
      <c r="BH12" s="41">
        <v>718</v>
      </c>
      <c r="BI12" s="2"/>
      <c r="BJ12" s="41">
        <v>1079</v>
      </c>
      <c r="BK12" s="41">
        <v>511</v>
      </c>
      <c r="BM12" s="45">
        <v>25761</v>
      </c>
      <c r="BN12" s="43">
        <v>3423</v>
      </c>
      <c r="BO12" s="43">
        <v>580</v>
      </c>
      <c r="BP12" s="43">
        <v>2320</v>
      </c>
      <c r="BQ12" s="43">
        <v>325</v>
      </c>
      <c r="BR12" s="43">
        <v>6648</v>
      </c>
      <c r="BS12" s="211">
        <v>0.25806451612903225</v>
      </c>
    </row>
    <row r="13" spans="1:71" x14ac:dyDescent="0.25">
      <c r="A13" s="191" t="s">
        <v>22</v>
      </c>
      <c r="B13" s="39"/>
      <c r="C13" s="41">
        <v>1847</v>
      </c>
      <c r="D13" s="41">
        <v>829</v>
      </c>
      <c r="E13" s="41">
        <v>11</v>
      </c>
      <c r="F13" s="41">
        <v>3</v>
      </c>
      <c r="G13" s="41">
        <v>1</v>
      </c>
      <c r="H13" s="2"/>
      <c r="I13" s="42"/>
      <c r="J13" s="42"/>
      <c r="K13" s="2"/>
      <c r="L13" s="41"/>
      <c r="M13" s="41"/>
      <c r="N13" s="41"/>
      <c r="O13" s="41"/>
      <c r="P13" s="41"/>
      <c r="Q13" s="41"/>
      <c r="R13" s="2"/>
      <c r="S13" s="41">
        <v>1806</v>
      </c>
      <c r="T13" s="41">
        <v>850</v>
      </c>
      <c r="U13" s="2"/>
      <c r="V13" s="41">
        <v>1822</v>
      </c>
      <c r="W13" s="41">
        <v>1799</v>
      </c>
      <c r="X13" s="41">
        <v>820</v>
      </c>
      <c r="Y13" s="41">
        <v>797</v>
      </c>
      <c r="Z13" s="2"/>
      <c r="AA13" s="41"/>
      <c r="AB13" s="41"/>
      <c r="AC13" s="2"/>
      <c r="AD13" s="41"/>
      <c r="AE13" s="41"/>
      <c r="AF13" s="41"/>
      <c r="AG13" s="41"/>
      <c r="AH13" s="2"/>
      <c r="AI13" s="41"/>
      <c r="AJ13" s="41"/>
      <c r="AK13" s="42"/>
      <c r="AL13" s="2"/>
      <c r="AM13" s="42"/>
      <c r="AN13" s="42"/>
      <c r="AO13" s="42"/>
      <c r="AP13" s="42"/>
      <c r="AQ13" s="2"/>
      <c r="AR13" s="41">
        <v>1826</v>
      </c>
      <c r="AS13" s="41">
        <v>802</v>
      </c>
      <c r="AT13" s="2"/>
      <c r="AU13" s="41">
        <v>1894</v>
      </c>
      <c r="AV13" s="41">
        <v>733</v>
      </c>
      <c r="AW13" s="2"/>
      <c r="AX13" s="42"/>
      <c r="AY13" s="42"/>
      <c r="AZ13" s="2"/>
      <c r="BA13" s="41"/>
      <c r="BB13" s="41"/>
      <c r="BC13" s="2"/>
      <c r="BD13" s="41"/>
      <c r="BE13" s="41"/>
      <c r="BF13" s="2"/>
      <c r="BG13" s="41">
        <v>1242</v>
      </c>
      <c r="BH13" s="41">
        <v>1069</v>
      </c>
      <c r="BI13" s="2"/>
      <c r="BJ13" s="41">
        <v>1529</v>
      </c>
      <c r="BK13" s="41">
        <v>755</v>
      </c>
      <c r="BM13" s="45">
        <v>7378</v>
      </c>
      <c r="BN13" s="43">
        <v>2703</v>
      </c>
      <c r="BO13" s="43">
        <v>132</v>
      </c>
      <c r="BP13" s="43">
        <v>583</v>
      </c>
      <c r="BQ13" s="43">
        <v>61</v>
      </c>
      <c r="BR13" s="43">
        <v>3479</v>
      </c>
      <c r="BS13" s="211">
        <v>0.47153700189753323</v>
      </c>
    </row>
    <row r="14" spans="1:71" x14ac:dyDescent="0.25">
      <c r="A14" s="191" t="s">
        <v>23</v>
      </c>
      <c r="B14" s="39"/>
      <c r="C14" s="41">
        <v>698</v>
      </c>
      <c r="D14" s="41">
        <v>332</v>
      </c>
      <c r="E14" s="41">
        <v>5</v>
      </c>
      <c r="F14" s="41">
        <v>2</v>
      </c>
      <c r="G14" s="41">
        <v>1</v>
      </c>
      <c r="H14" s="2"/>
      <c r="I14" s="42"/>
      <c r="J14" s="42"/>
      <c r="K14" s="2"/>
      <c r="L14" s="41"/>
      <c r="M14" s="41"/>
      <c r="N14" s="41"/>
      <c r="O14" s="41"/>
      <c r="P14" s="41"/>
      <c r="Q14" s="41"/>
      <c r="R14" s="2"/>
      <c r="S14" s="41">
        <v>659</v>
      </c>
      <c r="T14" s="41">
        <v>339</v>
      </c>
      <c r="U14" s="2"/>
      <c r="V14" s="41">
        <v>619</v>
      </c>
      <c r="W14" s="41">
        <v>631</v>
      </c>
      <c r="X14" s="41">
        <v>377</v>
      </c>
      <c r="Y14" s="41">
        <v>335</v>
      </c>
      <c r="Z14" s="2"/>
      <c r="AA14" s="41"/>
      <c r="AB14" s="41"/>
      <c r="AC14" s="2"/>
      <c r="AD14" s="41"/>
      <c r="AE14" s="41"/>
      <c r="AF14" s="41"/>
      <c r="AG14" s="41"/>
      <c r="AH14" s="2"/>
      <c r="AI14" s="41"/>
      <c r="AJ14" s="41"/>
      <c r="AK14" s="42"/>
      <c r="AL14" s="2"/>
      <c r="AM14" s="42"/>
      <c r="AN14" s="42"/>
      <c r="AO14" s="42"/>
      <c r="AP14" s="42"/>
      <c r="AQ14" s="2"/>
      <c r="AR14" s="41">
        <v>671</v>
      </c>
      <c r="AS14" s="41">
        <v>317</v>
      </c>
      <c r="AT14" s="46"/>
      <c r="AU14" s="41">
        <v>688</v>
      </c>
      <c r="AV14" s="41">
        <v>299</v>
      </c>
      <c r="AW14" s="2"/>
      <c r="AX14" s="42"/>
      <c r="AY14" s="42"/>
      <c r="AZ14" s="2"/>
      <c r="BA14" s="42"/>
      <c r="BB14" s="42"/>
      <c r="BC14" s="2"/>
      <c r="BD14" s="41">
        <v>673</v>
      </c>
      <c r="BE14" s="41">
        <v>295</v>
      </c>
      <c r="BF14" s="2"/>
      <c r="BG14" s="41">
        <v>361</v>
      </c>
      <c r="BH14" s="41">
        <v>401</v>
      </c>
      <c r="BI14" s="2"/>
      <c r="BJ14" s="41">
        <v>431</v>
      </c>
      <c r="BK14" s="41">
        <v>266</v>
      </c>
      <c r="BM14" s="45">
        <v>3401</v>
      </c>
      <c r="BN14" s="43">
        <v>1052</v>
      </c>
      <c r="BO14" s="43">
        <v>51</v>
      </c>
      <c r="BP14" s="43">
        <v>199</v>
      </c>
      <c r="BQ14" s="43">
        <v>16</v>
      </c>
      <c r="BR14" s="43">
        <v>1318</v>
      </c>
      <c r="BS14" s="211">
        <v>0.38753307850632168</v>
      </c>
    </row>
    <row r="15" spans="1:71" x14ac:dyDescent="0.25">
      <c r="A15" s="191" t="s">
        <v>24</v>
      </c>
      <c r="B15" s="39"/>
      <c r="C15" s="41">
        <v>1397</v>
      </c>
      <c r="D15" s="41">
        <v>549</v>
      </c>
      <c r="E15" s="41">
        <v>9</v>
      </c>
      <c r="F15" s="41">
        <v>4</v>
      </c>
      <c r="G15" s="41">
        <v>2</v>
      </c>
      <c r="H15" s="2"/>
      <c r="I15" s="42"/>
      <c r="J15" s="42"/>
      <c r="K15" s="2"/>
      <c r="L15" s="41"/>
      <c r="M15" s="41"/>
      <c r="N15" s="41"/>
      <c r="O15" s="41"/>
      <c r="P15" s="41"/>
      <c r="Q15" s="41"/>
      <c r="R15" s="2"/>
      <c r="S15" s="41">
        <v>1296</v>
      </c>
      <c r="T15" s="41">
        <v>614</v>
      </c>
      <c r="U15" s="2"/>
      <c r="V15" s="41">
        <v>1223</v>
      </c>
      <c r="W15" s="41">
        <v>1268</v>
      </c>
      <c r="X15" s="41">
        <v>674</v>
      </c>
      <c r="Y15" s="41">
        <v>599</v>
      </c>
      <c r="Z15" s="2"/>
      <c r="AA15" s="41"/>
      <c r="AB15" s="41"/>
      <c r="AC15" s="2"/>
      <c r="AD15" s="41"/>
      <c r="AE15" s="41"/>
      <c r="AF15" s="41"/>
      <c r="AG15" s="41"/>
      <c r="AH15" s="2"/>
      <c r="AI15" s="41"/>
      <c r="AJ15" s="41"/>
      <c r="AK15" s="42"/>
      <c r="AL15" s="2"/>
      <c r="AM15" s="42"/>
      <c r="AN15" s="42"/>
      <c r="AO15" s="42"/>
      <c r="AP15" s="42"/>
      <c r="AQ15" s="2"/>
      <c r="AR15" s="41">
        <v>1344</v>
      </c>
      <c r="AS15" s="41">
        <v>526</v>
      </c>
      <c r="AT15" s="41"/>
      <c r="AU15" s="41">
        <v>1353</v>
      </c>
      <c r="AV15" s="41">
        <v>529</v>
      </c>
      <c r="AW15" s="2"/>
      <c r="AX15" s="42"/>
      <c r="AY15" s="42"/>
      <c r="AZ15" s="2"/>
      <c r="BA15" s="42"/>
      <c r="BB15" s="42"/>
      <c r="BC15" s="2"/>
      <c r="BD15" s="41">
        <v>1358</v>
      </c>
      <c r="BE15" s="41">
        <v>516</v>
      </c>
      <c r="BF15" s="2"/>
      <c r="BG15" s="41">
        <v>686</v>
      </c>
      <c r="BH15" s="41">
        <v>857</v>
      </c>
      <c r="BI15" s="2"/>
      <c r="BJ15" s="41">
        <v>890</v>
      </c>
      <c r="BK15" s="41">
        <v>554</v>
      </c>
      <c r="BM15" s="45">
        <v>5891</v>
      </c>
      <c r="BN15" s="43">
        <v>1973</v>
      </c>
      <c r="BO15" s="43">
        <v>181</v>
      </c>
      <c r="BP15" s="43">
        <v>398</v>
      </c>
      <c r="BQ15" s="43">
        <v>54</v>
      </c>
      <c r="BR15" s="43">
        <v>2606</v>
      </c>
      <c r="BS15" s="211">
        <v>0.44236971651672041</v>
      </c>
    </row>
    <row r="16" spans="1:71" x14ac:dyDescent="0.25">
      <c r="A16" s="191" t="s">
        <v>25</v>
      </c>
      <c r="B16" s="39"/>
      <c r="C16" s="41">
        <v>164</v>
      </c>
      <c r="D16" s="41">
        <v>49</v>
      </c>
      <c r="E16" s="41">
        <v>0</v>
      </c>
      <c r="F16" s="41">
        <v>1</v>
      </c>
      <c r="G16" s="41">
        <v>0</v>
      </c>
      <c r="H16" s="2"/>
      <c r="I16" s="41">
        <v>166</v>
      </c>
      <c r="J16" s="41">
        <v>44</v>
      </c>
      <c r="K16" s="2"/>
      <c r="L16" s="41">
        <v>155</v>
      </c>
      <c r="M16" s="41">
        <v>157</v>
      </c>
      <c r="N16" s="41">
        <v>44</v>
      </c>
      <c r="O16" s="41">
        <v>43</v>
      </c>
      <c r="P16" s="41">
        <v>6</v>
      </c>
      <c r="Q16" s="41">
        <v>4</v>
      </c>
      <c r="R16" s="2"/>
      <c r="S16" s="41"/>
      <c r="T16" s="41"/>
      <c r="U16" s="2"/>
      <c r="V16" s="42"/>
      <c r="W16" s="42"/>
      <c r="X16" s="42"/>
      <c r="Y16" s="42"/>
      <c r="Z16" s="2"/>
      <c r="AA16" s="42"/>
      <c r="AB16" s="42"/>
      <c r="AC16" s="2"/>
      <c r="AD16" s="42"/>
      <c r="AE16" s="42"/>
      <c r="AF16" s="42"/>
      <c r="AG16" s="42"/>
      <c r="AH16" s="2"/>
      <c r="AI16" s="42"/>
      <c r="AJ16" s="42"/>
      <c r="AK16" s="42"/>
      <c r="AL16" s="2"/>
      <c r="AM16" s="42"/>
      <c r="AN16" s="42"/>
      <c r="AO16" s="42"/>
      <c r="AP16" s="42"/>
      <c r="AQ16" s="2"/>
      <c r="AR16" s="41">
        <v>157</v>
      </c>
      <c r="AS16" s="41">
        <v>47</v>
      </c>
      <c r="AT16" s="2"/>
      <c r="AU16" s="41">
        <v>165</v>
      </c>
      <c r="AV16" s="41">
        <v>40</v>
      </c>
      <c r="AW16" s="2"/>
      <c r="AX16" s="42"/>
      <c r="AY16" s="42"/>
      <c r="AZ16" s="2"/>
      <c r="BA16" s="42"/>
      <c r="BB16" s="42"/>
      <c r="BC16" s="2"/>
      <c r="BD16" s="41">
        <v>163</v>
      </c>
      <c r="BE16" s="41">
        <v>41</v>
      </c>
      <c r="BF16" s="2"/>
      <c r="BG16" s="41">
        <v>76</v>
      </c>
      <c r="BH16" s="41">
        <v>116</v>
      </c>
      <c r="BI16" s="2"/>
      <c r="BJ16" s="41">
        <v>117</v>
      </c>
      <c r="BK16" s="41">
        <v>75</v>
      </c>
      <c r="BM16" s="45">
        <v>435</v>
      </c>
      <c r="BN16" s="45">
        <v>217</v>
      </c>
      <c r="BO16" s="45">
        <v>12</v>
      </c>
      <c r="BP16" s="45">
        <v>24</v>
      </c>
      <c r="BQ16" s="45">
        <v>4</v>
      </c>
      <c r="BR16" s="43">
        <v>257</v>
      </c>
      <c r="BS16" s="211">
        <v>0.59080459770114946</v>
      </c>
    </row>
    <row r="17" spans="1:71" x14ac:dyDescent="0.25">
      <c r="A17" s="191" t="s">
        <v>26</v>
      </c>
      <c r="B17" s="39"/>
      <c r="C17" s="41">
        <v>473</v>
      </c>
      <c r="D17" s="41">
        <v>335</v>
      </c>
      <c r="E17" s="41">
        <v>4</v>
      </c>
      <c r="F17" s="41">
        <v>2</v>
      </c>
      <c r="G17" s="41">
        <v>0</v>
      </c>
      <c r="H17" s="2"/>
      <c r="I17" s="42"/>
      <c r="J17" s="42"/>
      <c r="K17" s="2"/>
      <c r="L17" s="41"/>
      <c r="M17" s="41"/>
      <c r="N17" s="41"/>
      <c r="O17" s="41"/>
      <c r="P17" s="41"/>
      <c r="Q17" s="41"/>
      <c r="R17" s="2"/>
      <c r="S17" s="41">
        <v>434</v>
      </c>
      <c r="T17" s="41">
        <v>361</v>
      </c>
      <c r="U17" s="2"/>
      <c r="V17" s="41">
        <v>427</v>
      </c>
      <c r="W17" s="41">
        <v>434</v>
      </c>
      <c r="X17" s="41">
        <v>356</v>
      </c>
      <c r="Y17" s="41">
        <v>333</v>
      </c>
      <c r="Z17" s="2"/>
      <c r="AA17" s="41"/>
      <c r="AB17" s="41"/>
      <c r="AC17" s="2"/>
      <c r="AD17" s="41"/>
      <c r="AE17" s="41"/>
      <c r="AF17" s="41"/>
      <c r="AG17" s="41"/>
      <c r="AH17" s="2"/>
      <c r="AI17" s="41"/>
      <c r="AJ17" s="41"/>
      <c r="AK17" s="42"/>
      <c r="AL17" s="2"/>
      <c r="AM17" s="42"/>
      <c r="AN17" s="42"/>
      <c r="AO17" s="42"/>
      <c r="AP17" s="42"/>
      <c r="AQ17" s="2"/>
      <c r="AR17" s="41">
        <v>351</v>
      </c>
      <c r="AS17" s="41">
        <v>459</v>
      </c>
      <c r="AT17" s="2"/>
      <c r="AU17" s="41">
        <v>467</v>
      </c>
      <c r="AV17" s="41">
        <v>320</v>
      </c>
      <c r="AW17" s="2"/>
      <c r="AX17" s="42"/>
      <c r="AY17" s="42"/>
      <c r="AZ17" s="2"/>
      <c r="BA17" s="42"/>
      <c r="BB17" s="42"/>
      <c r="BC17" s="2"/>
      <c r="BD17" s="41">
        <v>444</v>
      </c>
      <c r="BE17" s="41">
        <v>325</v>
      </c>
      <c r="BF17" s="2"/>
      <c r="BG17" s="41">
        <v>325</v>
      </c>
      <c r="BH17" s="41">
        <v>301</v>
      </c>
      <c r="BI17" s="2"/>
      <c r="BJ17" s="41">
        <v>391</v>
      </c>
      <c r="BK17" s="41">
        <v>187</v>
      </c>
      <c r="BM17" s="45">
        <v>3176</v>
      </c>
      <c r="BN17" s="41">
        <v>828</v>
      </c>
      <c r="BO17" s="41">
        <v>35</v>
      </c>
      <c r="BP17" s="41">
        <v>233</v>
      </c>
      <c r="BQ17" s="41">
        <v>34</v>
      </c>
      <c r="BR17" s="43">
        <v>1130</v>
      </c>
      <c r="BS17" s="211">
        <v>0.35579345088161207</v>
      </c>
    </row>
    <row r="18" spans="1:71" x14ac:dyDescent="0.25">
      <c r="A18" s="191" t="s">
        <v>27</v>
      </c>
      <c r="B18" s="39"/>
      <c r="C18" s="41">
        <v>6559</v>
      </c>
      <c r="D18" s="41">
        <v>3739</v>
      </c>
      <c r="E18" s="41">
        <v>29</v>
      </c>
      <c r="F18" s="41">
        <v>26</v>
      </c>
      <c r="G18" s="41">
        <v>4</v>
      </c>
      <c r="H18" s="2"/>
      <c r="I18" s="42"/>
      <c r="J18" s="42"/>
      <c r="K18" s="2"/>
      <c r="L18" s="41"/>
      <c r="M18" s="41"/>
      <c r="N18" s="41"/>
      <c r="O18" s="41"/>
      <c r="P18" s="41"/>
      <c r="Q18" s="41"/>
      <c r="R18" s="2"/>
      <c r="S18" s="41">
        <v>6254</v>
      </c>
      <c r="T18" s="41">
        <v>3944</v>
      </c>
      <c r="U18" s="2"/>
      <c r="V18" s="41">
        <v>6078</v>
      </c>
      <c r="W18" s="41">
        <v>6225</v>
      </c>
      <c r="X18" s="41">
        <v>3846</v>
      </c>
      <c r="Y18" s="41">
        <v>3672</v>
      </c>
      <c r="Z18" s="2"/>
      <c r="AA18" s="41"/>
      <c r="AB18" s="41"/>
      <c r="AC18" s="2"/>
      <c r="AD18" s="41"/>
      <c r="AE18" s="41"/>
      <c r="AF18" s="41"/>
      <c r="AG18" s="41"/>
      <c r="AH18" s="2"/>
      <c r="AI18" s="41"/>
      <c r="AJ18" s="41"/>
      <c r="AK18" s="42"/>
      <c r="AL18" s="2"/>
      <c r="AM18" s="42"/>
      <c r="AN18" s="42"/>
      <c r="AO18" s="42"/>
      <c r="AP18" s="42"/>
      <c r="AQ18" s="2"/>
      <c r="AR18" s="41">
        <v>6354</v>
      </c>
      <c r="AS18" s="41">
        <v>3633</v>
      </c>
      <c r="AT18" s="2"/>
      <c r="AU18" s="41">
        <v>6724</v>
      </c>
      <c r="AV18" s="41">
        <v>3270</v>
      </c>
      <c r="AW18" s="2"/>
      <c r="AX18" s="41">
        <v>872</v>
      </c>
      <c r="AY18" s="41">
        <v>341</v>
      </c>
      <c r="AZ18" s="2"/>
      <c r="BA18" s="41">
        <v>5638</v>
      </c>
      <c r="BB18" s="41">
        <v>2979</v>
      </c>
      <c r="BC18" s="2"/>
      <c r="BD18" s="42"/>
      <c r="BE18" s="42"/>
      <c r="BF18" s="2"/>
      <c r="BG18" s="41">
        <v>4251</v>
      </c>
      <c r="BH18" s="41">
        <v>3886</v>
      </c>
      <c r="BI18" s="2"/>
      <c r="BJ18" s="41">
        <v>5150</v>
      </c>
      <c r="BK18" s="41">
        <v>2492</v>
      </c>
      <c r="BM18" s="45">
        <v>36284</v>
      </c>
      <c r="BN18" s="43">
        <v>10436</v>
      </c>
      <c r="BO18" s="43">
        <v>993</v>
      </c>
      <c r="BP18" s="43">
        <v>2379</v>
      </c>
      <c r="BQ18" s="43">
        <v>320</v>
      </c>
      <c r="BR18" s="43">
        <v>14128</v>
      </c>
      <c r="BS18" s="211">
        <v>0.38937272627053249</v>
      </c>
    </row>
    <row r="19" spans="1:71" x14ac:dyDescent="0.25">
      <c r="A19" s="191" t="s">
        <v>28</v>
      </c>
      <c r="B19" s="39"/>
      <c r="C19" s="41">
        <v>545</v>
      </c>
      <c r="D19" s="41">
        <v>139</v>
      </c>
      <c r="E19" s="41">
        <v>6</v>
      </c>
      <c r="F19" s="41">
        <v>6</v>
      </c>
      <c r="G19" s="41">
        <v>0</v>
      </c>
      <c r="H19" s="2"/>
      <c r="I19" s="41">
        <v>545</v>
      </c>
      <c r="J19" s="41">
        <v>120</v>
      </c>
      <c r="K19" s="2"/>
      <c r="L19" s="41">
        <v>522</v>
      </c>
      <c r="M19" s="41">
        <v>512</v>
      </c>
      <c r="N19" s="41">
        <v>130</v>
      </c>
      <c r="O19" s="41">
        <v>126</v>
      </c>
      <c r="P19" s="41">
        <v>7</v>
      </c>
      <c r="Q19" s="41">
        <v>9</v>
      </c>
      <c r="R19" s="2"/>
      <c r="S19" s="41"/>
      <c r="T19" s="41"/>
      <c r="U19" s="2"/>
      <c r="V19" s="42"/>
      <c r="W19" s="42"/>
      <c r="X19" s="42"/>
      <c r="Y19" s="42"/>
      <c r="Z19" s="2"/>
      <c r="AA19" s="42"/>
      <c r="AB19" s="42"/>
      <c r="AC19" s="2"/>
      <c r="AD19" s="42"/>
      <c r="AE19" s="42"/>
      <c r="AF19" s="42"/>
      <c r="AG19" s="42"/>
      <c r="AH19" s="2"/>
      <c r="AI19" s="42"/>
      <c r="AJ19" s="42"/>
      <c r="AK19" s="42"/>
      <c r="AL19" s="2"/>
      <c r="AM19" s="42"/>
      <c r="AN19" s="42"/>
      <c r="AO19" s="42"/>
      <c r="AP19" s="42"/>
      <c r="AQ19" s="2"/>
      <c r="AR19" s="41">
        <v>505</v>
      </c>
      <c r="AS19" s="41">
        <v>148</v>
      </c>
      <c r="AT19" s="2"/>
      <c r="AU19" s="41">
        <v>524</v>
      </c>
      <c r="AV19" s="41">
        <v>123</v>
      </c>
      <c r="AW19" s="2"/>
      <c r="AX19" s="42"/>
      <c r="AY19" s="42"/>
      <c r="AZ19" s="2"/>
      <c r="BA19" s="42"/>
      <c r="BB19" s="42"/>
      <c r="BC19" s="2"/>
      <c r="BD19" s="41">
        <v>509</v>
      </c>
      <c r="BE19" s="41">
        <v>121</v>
      </c>
      <c r="BF19" s="2"/>
      <c r="BG19" s="41">
        <v>237</v>
      </c>
      <c r="BH19" s="41">
        <v>380</v>
      </c>
      <c r="BI19" s="2"/>
      <c r="BJ19" s="41">
        <v>370</v>
      </c>
      <c r="BK19" s="41">
        <v>241</v>
      </c>
      <c r="BM19" s="45">
        <v>1452</v>
      </c>
      <c r="BN19" s="43">
        <v>708</v>
      </c>
      <c r="BO19" s="43">
        <v>41</v>
      </c>
      <c r="BP19" s="43">
        <v>104</v>
      </c>
      <c r="BQ19" s="43">
        <v>18</v>
      </c>
      <c r="BR19" s="43">
        <v>871</v>
      </c>
      <c r="BS19" s="211">
        <v>0.59986225895316803</v>
      </c>
    </row>
    <row r="20" spans="1:71" x14ac:dyDescent="0.25">
      <c r="A20" s="191" t="s">
        <v>29</v>
      </c>
      <c r="B20" s="39"/>
      <c r="C20" s="41">
        <v>396</v>
      </c>
      <c r="D20" s="41">
        <v>117</v>
      </c>
      <c r="E20" s="41">
        <v>0</v>
      </c>
      <c r="F20" s="41">
        <v>0</v>
      </c>
      <c r="G20" s="41">
        <v>1</v>
      </c>
      <c r="H20" s="2"/>
      <c r="I20" s="42"/>
      <c r="J20" s="42"/>
      <c r="K20" s="2"/>
      <c r="L20" s="41"/>
      <c r="M20" s="41"/>
      <c r="N20" s="41"/>
      <c r="O20" s="41"/>
      <c r="P20" s="41"/>
      <c r="Q20" s="41"/>
      <c r="R20" s="2"/>
      <c r="S20" s="41">
        <v>374</v>
      </c>
      <c r="T20" s="41">
        <v>122</v>
      </c>
      <c r="U20" s="2"/>
      <c r="V20" s="41">
        <v>358</v>
      </c>
      <c r="W20" s="41">
        <v>367</v>
      </c>
      <c r="X20" s="41">
        <v>129</v>
      </c>
      <c r="Y20" s="41">
        <v>120</v>
      </c>
      <c r="Z20" s="2"/>
      <c r="AA20" s="41"/>
      <c r="AB20" s="41"/>
      <c r="AC20" s="2"/>
      <c r="AD20" s="41"/>
      <c r="AE20" s="41"/>
      <c r="AF20" s="41"/>
      <c r="AG20" s="41"/>
      <c r="AH20" s="2"/>
      <c r="AI20" s="41"/>
      <c r="AJ20" s="41"/>
      <c r="AK20" s="42"/>
      <c r="AL20" s="2"/>
      <c r="AM20" s="42"/>
      <c r="AN20" s="42"/>
      <c r="AO20" s="42"/>
      <c r="AP20" s="42"/>
      <c r="AQ20" s="2"/>
      <c r="AR20" s="41">
        <v>388</v>
      </c>
      <c r="AS20" s="41">
        <v>112</v>
      </c>
      <c r="AT20" s="2"/>
      <c r="AU20" s="41">
        <v>389</v>
      </c>
      <c r="AV20" s="41">
        <v>103</v>
      </c>
      <c r="AW20" s="2"/>
      <c r="AX20" s="42"/>
      <c r="AY20" s="42"/>
      <c r="AZ20" s="2"/>
      <c r="BA20" s="42"/>
      <c r="BB20" s="42"/>
      <c r="BC20" s="2"/>
      <c r="BD20" s="41">
        <v>397</v>
      </c>
      <c r="BE20" s="41">
        <v>97</v>
      </c>
      <c r="BF20" s="2"/>
      <c r="BG20" s="41">
        <v>199</v>
      </c>
      <c r="BH20" s="41">
        <v>241</v>
      </c>
      <c r="BI20" s="2"/>
      <c r="BJ20" s="41">
        <v>284</v>
      </c>
      <c r="BK20" s="41">
        <v>150</v>
      </c>
      <c r="BM20" s="45">
        <v>1473</v>
      </c>
      <c r="BN20" s="41">
        <v>518</v>
      </c>
      <c r="BO20" s="41">
        <v>30</v>
      </c>
      <c r="BP20" s="41">
        <v>86</v>
      </c>
      <c r="BQ20" s="41">
        <v>19</v>
      </c>
      <c r="BR20" s="43">
        <v>653</v>
      </c>
      <c r="BS20" s="211">
        <v>0.44331296673455534</v>
      </c>
    </row>
    <row r="21" spans="1:71" x14ac:dyDescent="0.25">
      <c r="A21" s="191" t="s">
        <v>30</v>
      </c>
      <c r="B21" s="39"/>
      <c r="C21" s="41">
        <v>4993</v>
      </c>
      <c r="D21" s="41">
        <v>2751</v>
      </c>
      <c r="E21" s="41">
        <v>15</v>
      </c>
      <c r="F21" s="41">
        <v>18</v>
      </c>
      <c r="G21" s="41">
        <v>4</v>
      </c>
      <c r="H21" s="2"/>
      <c r="I21" s="42"/>
      <c r="J21" s="42"/>
      <c r="K21" s="2"/>
      <c r="L21" s="42"/>
      <c r="M21" s="42"/>
      <c r="N21" s="42"/>
      <c r="O21" s="42"/>
      <c r="P21" s="42"/>
      <c r="Q21" s="42"/>
      <c r="R21" s="2"/>
      <c r="S21" s="42"/>
      <c r="T21" s="42"/>
      <c r="U21" s="2"/>
      <c r="V21" s="42"/>
      <c r="W21" s="42"/>
      <c r="X21" s="42"/>
      <c r="Y21" s="42"/>
      <c r="Z21" s="2"/>
      <c r="AA21" s="42"/>
      <c r="AB21" s="42"/>
      <c r="AC21" s="2"/>
      <c r="AD21" s="42"/>
      <c r="AE21" s="42"/>
      <c r="AF21" s="42"/>
      <c r="AG21" s="42"/>
      <c r="AH21" s="2"/>
      <c r="AI21" s="41">
        <v>4955</v>
      </c>
      <c r="AJ21" s="41">
        <v>2522</v>
      </c>
      <c r="AK21" s="41">
        <v>60</v>
      </c>
      <c r="AL21" s="2"/>
      <c r="AM21" s="41">
        <v>4871</v>
      </c>
      <c r="AN21" s="41">
        <v>4825</v>
      </c>
      <c r="AO21" s="41">
        <v>2560</v>
      </c>
      <c r="AP21" s="41">
        <v>2507</v>
      </c>
      <c r="AQ21" s="2"/>
      <c r="AR21" s="41">
        <v>4738</v>
      </c>
      <c r="AS21" s="41">
        <v>2759</v>
      </c>
      <c r="AT21" s="2"/>
      <c r="AU21" s="41">
        <v>4971</v>
      </c>
      <c r="AV21" s="41">
        <v>2435</v>
      </c>
      <c r="AW21" s="2"/>
      <c r="AX21" s="42"/>
      <c r="AY21" s="42"/>
      <c r="AZ21" s="2"/>
      <c r="BA21" s="41"/>
      <c r="BB21" s="41"/>
      <c r="BC21" s="2"/>
      <c r="BD21" s="41"/>
      <c r="BE21" s="41"/>
      <c r="BF21" s="2"/>
      <c r="BG21" s="41">
        <v>3119</v>
      </c>
      <c r="BH21" s="41">
        <v>3175</v>
      </c>
      <c r="BI21" s="2"/>
      <c r="BJ21" s="41">
        <v>3875</v>
      </c>
      <c r="BK21" s="41">
        <v>1986</v>
      </c>
      <c r="BM21" s="45">
        <v>28808</v>
      </c>
      <c r="BN21" s="43">
        <v>7841</v>
      </c>
      <c r="BO21" s="43">
        <v>1660</v>
      </c>
      <c r="BP21" s="43">
        <v>1995</v>
      </c>
      <c r="BQ21" s="43">
        <v>284</v>
      </c>
      <c r="BR21" s="43">
        <v>11780</v>
      </c>
      <c r="BS21" s="211">
        <v>0.40891419050263816</v>
      </c>
    </row>
    <row r="22" spans="1:71" x14ac:dyDescent="0.25">
      <c r="A22" s="191" t="s">
        <v>31</v>
      </c>
      <c r="B22" s="39"/>
      <c r="C22" s="41">
        <v>3631</v>
      </c>
      <c r="D22" s="41">
        <v>2128</v>
      </c>
      <c r="E22" s="41">
        <v>11</v>
      </c>
      <c r="F22" s="41">
        <v>19</v>
      </c>
      <c r="G22" s="41">
        <v>7</v>
      </c>
      <c r="H22" s="2"/>
      <c r="I22" s="42"/>
      <c r="J22" s="42"/>
      <c r="K22" s="2"/>
      <c r="L22" s="41"/>
      <c r="M22" s="41"/>
      <c r="N22" s="41"/>
      <c r="O22" s="41"/>
      <c r="P22" s="41"/>
      <c r="Q22" s="41"/>
      <c r="R22" s="2"/>
      <c r="S22" s="41">
        <v>3454</v>
      </c>
      <c r="T22" s="41">
        <v>2233</v>
      </c>
      <c r="U22" s="2"/>
      <c r="V22" s="41">
        <v>3341</v>
      </c>
      <c r="W22" s="41">
        <v>3392</v>
      </c>
      <c r="X22" s="41">
        <v>2235</v>
      </c>
      <c r="Y22" s="41">
        <v>2111</v>
      </c>
      <c r="Z22" s="2"/>
      <c r="AA22" s="41"/>
      <c r="AB22" s="41"/>
      <c r="AC22" s="2"/>
      <c r="AD22" s="41"/>
      <c r="AE22" s="41"/>
      <c r="AF22" s="41"/>
      <c r="AG22" s="41"/>
      <c r="AH22" s="2"/>
      <c r="AI22" s="41"/>
      <c r="AJ22" s="41"/>
      <c r="AK22" s="42"/>
      <c r="AL22" s="2"/>
      <c r="AM22" s="42"/>
      <c r="AN22" s="42"/>
      <c r="AO22" s="42"/>
      <c r="AP22" s="41"/>
      <c r="AQ22" s="2"/>
      <c r="AR22" s="41">
        <v>3452</v>
      </c>
      <c r="AS22" s="41">
        <v>2156</v>
      </c>
      <c r="AT22" s="2"/>
      <c r="AU22" s="41">
        <v>3688</v>
      </c>
      <c r="AV22" s="41">
        <v>1922</v>
      </c>
      <c r="AW22" s="2"/>
      <c r="AX22" s="42"/>
      <c r="AY22" s="42"/>
      <c r="AZ22" s="2"/>
      <c r="BA22" s="41">
        <v>1835</v>
      </c>
      <c r="BB22" s="41">
        <v>1259</v>
      </c>
      <c r="BC22" s="2"/>
      <c r="BD22" s="41">
        <v>1729</v>
      </c>
      <c r="BE22" s="41">
        <v>754</v>
      </c>
      <c r="BF22" s="2"/>
      <c r="BG22" s="41">
        <v>2469</v>
      </c>
      <c r="BH22" s="41">
        <v>2712</v>
      </c>
      <c r="BI22" s="2"/>
      <c r="BJ22" s="41">
        <v>3118</v>
      </c>
      <c r="BK22" s="41">
        <v>1936</v>
      </c>
      <c r="BM22" s="45">
        <v>21801</v>
      </c>
      <c r="BN22" s="41">
        <v>5842</v>
      </c>
      <c r="BO22" s="41">
        <v>820</v>
      </c>
      <c r="BP22" s="41">
        <v>1423</v>
      </c>
      <c r="BQ22" s="41">
        <v>170</v>
      </c>
      <c r="BR22" s="43">
        <v>8255</v>
      </c>
      <c r="BS22" s="211">
        <v>0.37865235539654146</v>
      </c>
    </row>
    <row r="23" spans="1:71" x14ac:dyDescent="0.25">
      <c r="A23" s="191" t="s">
        <v>32</v>
      </c>
      <c r="B23" s="39"/>
      <c r="C23" s="41">
        <v>2645</v>
      </c>
      <c r="D23" s="41">
        <v>886</v>
      </c>
      <c r="E23" s="41">
        <v>18</v>
      </c>
      <c r="F23" s="41">
        <v>14</v>
      </c>
      <c r="G23" s="41">
        <v>2</v>
      </c>
      <c r="H23" s="2"/>
      <c r="I23" s="42"/>
      <c r="J23" s="42"/>
      <c r="K23" s="2"/>
      <c r="L23" s="42"/>
      <c r="M23" s="42"/>
      <c r="N23" s="42"/>
      <c r="O23" s="42"/>
      <c r="P23" s="42"/>
      <c r="Q23" s="42"/>
      <c r="R23" s="2"/>
      <c r="S23" s="42"/>
      <c r="T23" s="42"/>
      <c r="U23" s="2"/>
      <c r="V23" s="42"/>
      <c r="W23" s="42"/>
      <c r="X23" s="42"/>
      <c r="Y23" s="42"/>
      <c r="Z23" s="2"/>
      <c r="AA23" s="41">
        <v>2375</v>
      </c>
      <c r="AB23" s="41">
        <v>925</v>
      </c>
      <c r="AC23" s="2"/>
      <c r="AD23" s="41">
        <v>2529</v>
      </c>
      <c r="AE23" s="41">
        <v>2290</v>
      </c>
      <c r="AF23" s="41">
        <v>848</v>
      </c>
      <c r="AG23" s="41">
        <v>839</v>
      </c>
      <c r="AH23" s="2"/>
      <c r="AI23" s="42"/>
      <c r="AJ23" s="42"/>
      <c r="AK23" s="41"/>
      <c r="AL23" s="2"/>
      <c r="AM23" s="42"/>
      <c r="AN23" s="42"/>
      <c r="AO23" s="42"/>
      <c r="AP23" s="42"/>
      <c r="AQ23" s="2"/>
      <c r="AR23" s="41">
        <v>2666</v>
      </c>
      <c r="AS23" s="41">
        <v>762</v>
      </c>
      <c r="AT23" s="2"/>
      <c r="AU23" s="41">
        <v>2538</v>
      </c>
      <c r="AV23" s="41">
        <v>729</v>
      </c>
      <c r="AW23" s="2"/>
      <c r="AX23" s="42"/>
      <c r="AY23" s="42"/>
      <c r="AZ23" s="2"/>
      <c r="BA23" s="42"/>
      <c r="BB23" s="42"/>
      <c r="BC23" s="2"/>
      <c r="BD23" s="41">
        <v>2690</v>
      </c>
      <c r="BE23" s="41">
        <v>680</v>
      </c>
      <c r="BF23" s="2"/>
      <c r="BG23" s="41">
        <v>1379</v>
      </c>
      <c r="BH23" s="41">
        <v>1377</v>
      </c>
      <c r="BI23" s="2"/>
      <c r="BJ23" s="41">
        <v>1732</v>
      </c>
      <c r="BK23" s="41">
        <v>829</v>
      </c>
      <c r="BM23" s="43">
        <v>10244</v>
      </c>
      <c r="BN23" s="43">
        <v>3614</v>
      </c>
      <c r="BO23" s="43">
        <v>634</v>
      </c>
      <c r="BP23" s="43">
        <v>807</v>
      </c>
      <c r="BQ23" s="43">
        <v>90</v>
      </c>
      <c r="BR23" s="43">
        <v>5145</v>
      </c>
      <c r="BS23" s="211">
        <v>0.50224521671222178</v>
      </c>
    </row>
    <row r="24" spans="1:71" x14ac:dyDescent="0.25">
      <c r="A24" s="191" t="s">
        <v>33</v>
      </c>
      <c r="B24" s="39"/>
      <c r="C24" s="41">
        <v>1444</v>
      </c>
      <c r="D24" s="41">
        <v>761</v>
      </c>
      <c r="E24" s="41">
        <v>4</v>
      </c>
      <c r="F24" s="41">
        <v>6</v>
      </c>
      <c r="G24" s="41">
        <v>2</v>
      </c>
      <c r="H24" s="2"/>
      <c r="I24" s="42"/>
      <c r="J24" s="42"/>
      <c r="K24" s="2"/>
      <c r="L24" s="41"/>
      <c r="M24" s="41"/>
      <c r="N24" s="41"/>
      <c r="O24" s="41"/>
      <c r="P24" s="41"/>
      <c r="Q24" s="41"/>
      <c r="R24" s="2"/>
      <c r="S24" s="41">
        <v>1357</v>
      </c>
      <c r="T24" s="41">
        <v>835</v>
      </c>
      <c r="U24" s="2"/>
      <c r="V24" s="41">
        <v>1374</v>
      </c>
      <c r="W24" s="41">
        <v>1400</v>
      </c>
      <c r="X24" s="41">
        <v>767</v>
      </c>
      <c r="Y24" s="41">
        <v>730</v>
      </c>
      <c r="Z24" s="2"/>
      <c r="AA24" s="41"/>
      <c r="AB24" s="41"/>
      <c r="AC24" s="2"/>
      <c r="AD24" s="41"/>
      <c r="AE24" s="41"/>
      <c r="AF24" s="41"/>
      <c r="AG24" s="41"/>
      <c r="AH24" s="2"/>
      <c r="AI24" s="41"/>
      <c r="AJ24" s="41"/>
      <c r="AK24" s="42"/>
      <c r="AL24" s="2"/>
      <c r="AM24" s="42"/>
      <c r="AN24" s="42"/>
      <c r="AO24" s="42"/>
      <c r="AP24" s="42"/>
      <c r="AQ24" s="2"/>
      <c r="AR24" s="41">
        <v>1398</v>
      </c>
      <c r="AS24" s="41">
        <v>744</v>
      </c>
      <c r="AT24" s="2"/>
      <c r="AU24" s="41">
        <v>1507</v>
      </c>
      <c r="AV24" s="41">
        <v>654</v>
      </c>
      <c r="AW24" s="2"/>
      <c r="AX24" s="41">
        <v>1373</v>
      </c>
      <c r="AY24" s="41">
        <v>782</v>
      </c>
      <c r="AZ24" s="2"/>
      <c r="BA24" s="42"/>
      <c r="BB24" s="42"/>
      <c r="BC24" s="2"/>
      <c r="BD24" s="42"/>
      <c r="BE24" s="42"/>
      <c r="BF24" s="2"/>
      <c r="BG24" s="41">
        <v>1060</v>
      </c>
      <c r="BH24" s="41">
        <v>923</v>
      </c>
      <c r="BI24" s="2"/>
      <c r="BJ24" s="41">
        <v>1347</v>
      </c>
      <c r="BK24" s="41">
        <v>601</v>
      </c>
      <c r="BM24" s="45">
        <v>6207</v>
      </c>
      <c r="BN24" s="41">
        <v>2242</v>
      </c>
      <c r="BO24" s="41">
        <v>194</v>
      </c>
      <c r="BP24" s="41">
        <v>527</v>
      </c>
      <c r="BQ24" s="41">
        <v>86</v>
      </c>
      <c r="BR24" s="43">
        <v>3049</v>
      </c>
      <c r="BS24" s="211">
        <v>0.49121959078459804</v>
      </c>
    </row>
    <row r="25" spans="1:71" x14ac:dyDescent="0.25">
      <c r="A25" s="191" t="s">
        <v>34</v>
      </c>
      <c r="B25" s="39"/>
      <c r="C25" s="41">
        <v>211</v>
      </c>
      <c r="D25" s="41">
        <v>89</v>
      </c>
      <c r="E25" s="41">
        <v>1</v>
      </c>
      <c r="F25" s="41">
        <v>0</v>
      </c>
      <c r="G25" s="41">
        <v>0</v>
      </c>
      <c r="H25" s="2"/>
      <c r="I25" s="42"/>
      <c r="J25" s="42"/>
      <c r="K25" s="2"/>
      <c r="L25" s="41"/>
      <c r="M25" s="41"/>
      <c r="N25" s="41"/>
      <c r="O25" s="41"/>
      <c r="P25" s="41"/>
      <c r="Q25" s="41"/>
      <c r="R25" s="2"/>
      <c r="S25" s="41">
        <v>201</v>
      </c>
      <c r="T25" s="41">
        <v>93</v>
      </c>
      <c r="U25" s="2"/>
      <c r="V25" s="41">
        <v>199</v>
      </c>
      <c r="W25" s="41">
        <v>206</v>
      </c>
      <c r="X25" s="41">
        <v>84</v>
      </c>
      <c r="Y25" s="41">
        <v>85</v>
      </c>
      <c r="Z25" s="2"/>
      <c r="AA25" s="41"/>
      <c r="AB25" s="41"/>
      <c r="AC25" s="2"/>
      <c r="AD25" s="41"/>
      <c r="AE25" s="41"/>
      <c r="AF25" s="41"/>
      <c r="AG25" s="41"/>
      <c r="AH25" s="2"/>
      <c r="AI25" s="41"/>
      <c r="AJ25" s="41"/>
      <c r="AK25" s="42"/>
      <c r="AL25" s="2"/>
      <c r="AM25" s="42"/>
      <c r="AN25" s="42"/>
      <c r="AO25" s="42"/>
      <c r="AP25" s="42"/>
      <c r="AQ25" s="2"/>
      <c r="AR25" s="41">
        <v>202</v>
      </c>
      <c r="AS25" s="41">
        <v>89</v>
      </c>
      <c r="AT25" s="2"/>
      <c r="AU25" s="41">
        <v>213</v>
      </c>
      <c r="AV25" s="41">
        <v>79</v>
      </c>
      <c r="AW25" s="2"/>
      <c r="AX25" s="41">
        <v>205</v>
      </c>
      <c r="AY25" s="41">
        <v>84</v>
      </c>
      <c r="AZ25" s="2"/>
      <c r="BA25" s="42"/>
      <c r="BB25" s="42"/>
      <c r="BC25" s="2"/>
      <c r="BD25" s="42"/>
      <c r="BE25" s="42"/>
      <c r="BF25" s="2"/>
      <c r="BG25" s="41">
        <v>145</v>
      </c>
      <c r="BH25" s="41">
        <v>126</v>
      </c>
      <c r="BI25" s="2"/>
      <c r="BJ25" s="41">
        <v>173</v>
      </c>
      <c r="BK25" s="41">
        <v>95</v>
      </c>
      <c r="BM25" s="45">
        <v>890</v>
      </c>
      <c r="BN25" s="43">
        <v>303</v>
      </c>
      <c r="BO25" s="43">
        <v>39</v>
      </c>
      <c r="BP25" s="43">
        <v>90</v>
      </c>
      <c r="BQ25" s="43">
        <v>10</v>
      </c>
      <c r="BR25" s="43">
        <v>442</v>
      </c>
      <c r="BS25" s="211">
        <v>0.49662921348314609</v>
      </c>
    </row>
    <row r="26" spans="1:71" x14ac:dyDescent="0.25">
      <c r="A26" s="191" t="s">
        <v>35</v>
      </c>
      <c r="B26" s="39"/>
      <c r="C26" s="41">
        <v>1132</v>
      </c>
      <c r="D26" s="41">
        <v>668</v>
      </c>
      <c r="E26" s="41">
        <v>2</v>
      </c>
      <c r="F26" s="41">
        <v>0</v>
      </c>
      <c r="G26" s="41">
        <v>0</v>
      </c>
      <c r="H26" s="2"/>
      <c r="I26" s="42"/>
      <c r="J26" s="42"/>
      <c r="K26" s="2"/>
      <c r="L26" s="41"/>
      <c r="M26" s="41"/>
      <c r="N26" s="41"/>
      <c r="O26" s="41"/>
      <c r="P26" s="41"/>
      <c r="Q26" s="41"/>
      <c r="R26" s="2"/>
      <c r="S26" s="41">
        <v>1084</v>
      </c>
      <c r="T26" s="41">
        <v>691</v>
      </c>
      <c r="U26" s="2"/>
      <c r="V26" s="41">
        <v>1134</v>
      </c>
      <c r="W26" s="41">
        <v>1204</v>
      </c>
      <c r="X26" s="41">
        <v>619</v>
      </c>
      <c r="Y26" s="41">
        <v>555</v>
      </c>
      <c r="Z26" s="2"/>
      <c r="AA26" s="41"/>
      <c r="AB26" s="41"/>
      <c r="AC26" s="2"/>
      <c r="AD26" s="41"/>
      <c r="AE26" s="41"/>
      <c r="AF26" s="41"/>
      <c r="AG26" s="41"/>
      <c r="AH26" s="2"/>
      <c r="AI26" s="41"/>
      <c r="AJ26" s="41"/>
      <c r="AK26" s="42"/>
      <c r="AL26" s="2"/>
      <c r="AM26" s="42"/>
      <c r="AN26" s="42"/>
      <c r="AO26" s="42"/>
      <c r="AP26" s="42"/>
      <c r="AQ26" s="2"/>
      <c r="AR26" s="41">
        <v>1117</v>
      </c>
      <c r="AS26" s="41">
        <v>631</v>
      </c>
      <c r="AT26" s="2"/>
      <c r="AU26" s="41">
        <v>1179</v>
      </c>
      <c r="AV26" s="41">
        <v>577</v>
      </c>
      <c r="AW26" s="2"/>
      <c r="AX26" s="41">
        <v>1165</v>
      </c>
      <c r="AY26" s="41">
        <v>577</v>
      </c>
      <c r="AZ26" s="2"/>
      <c r="BA26" s="42"/>
      <c r="BB26" s="42"/>
      <c r="BC26" s="2"/>
      <c r="BD26" s="42"/>
      <c r="BE26" s="42"/>
      <c r="BF26" s="2"/>
      <c r="BG26" s="41">
        <v>794</v>
      </c>
      <c r="BH26" s="41">
        <v>719</v>
      </c>
      <c r="BI26" s="2"/>
      <c r="BJ26" s="41">
        <v>998</v>
      </c>
      <c r="BK26" s="41">
        <v>495</v>
      </c>
      <c r="BM26" s="45">
        <v>5377</v>
      </c>
      <c r="BN26" s="43">
        <v>1821</v>
      </c>
      <c r="BO26" s="43">
        <v>149</v>
      </c>
      <c r="BP26" s="43">
        <v>539</v>
      </c>
      <c r="BQ26" s="43">
        <v>67</v>
      </c>
      <c r="BR26" s="43">
        <v>2576</v>
      </c>
      <c r="BS26" s="211">
        <v>0.4790775525385903</v>
      </c>
    </row>
    <row r="27" spans="1:71" x14ac:dyDescent="0.25">
      <c r="A27" s="191" t="s">
        <v>36</v>
      </c>
      <c r="B27" s="39"/>
      <c r="C27" s="41">
        <v>1275</v>
      </c>
      <c r="D27" s="41">
        <v>471</v>
      </c>
      <c r="E27" s="41">
        <v>5</v>
      </c>
      <c r="F27" s="41">
        <v>5</v>
      </c>
      <c r="G27" s="41">
        <v>1</v>
      </c>
      <c r="H27" s="2"/>
      <c r="I27" s="42"/>
      <c r="J27" s="42"/>
      <c r="K27" s="2"/>
      <c r="L27" s="41"/>
      <c r="M27" s="41"/>
      <c r="N27" s="41"/>
      <c r="O27" s="41"/>
      <c r="P27" s="41"/>
      <c r="Q27" s="41"/>
      <c r="R27" s="2"/>
      <c r="S27" s="41">
        <v>1225</v>
      </c>
      <c r="T27" s="41">
        <v>499</v>
      </c>
      <c r="U27" s="2"/>
      <c r="V27" s="41">
        <v>1161</v>
      </c>
      <c r="W27" s="41">
        <v>1198</v>
      </c>
      <c r="X27" s="41">
        <v>505</v>
      </c>
      <c r="Y27" s="41">
        <v>466</v>
      </c>
      <c r="Z27" s="2"/>
      <c r="AA27" s="41"/>
      <c r="AB27" s="41"/>
      <c r="AC27" s="2"/>
      <c r="AD27" s="41"/>
      <c r="AE27" s="41"/>
      <c r="AF27" s="41"/>
      <c r="AG27" s="41"/>
      <c r="AH27" s="2"/>
      <c r="AI27" s="41"/>
      <c r="AJ27" s="41"/>
      <c r="AK27" s="42"/>
      <c r="AL27" s="2"/>
      <c r="AM27" s="42"/>
      <c r="AN27" s="42"/>
      <c r="AO27" s="42"/>
      <c r="AP27" s="42"/>
      <c r="AQ27" s="2"/>
      <c r="AR27" s="41">
        <v>1189</v>
      </c>
      <c r="AS27" s="41">
        <v>519</v>
      </c>
      <c r="AT27" s="2"/>
      <c r="AU27" s="41">
        <v>1259</v>
      </c>
      <c r="AV27" s="41">
        <v>444</v>
      </c>
      <c r="AW27" s="2"/>
      <c r="AX27" s="42"/>
      <c r="AY27" s="42"/>
      <c r="AZ27" s="2"/>
      <c r="BA27" s="42"/>
      <c r="BB27" s="42"/>
      <c r="BC27" s="2"/>
      <c r="BD27" s="41">
        <v>1258</v>
      </c>
      <c r="BE27" s="41">
        <v>431</v>
      </c>
      <c r="BF27" s="2"/>
      <c r="BG27" s="41">
        <v>674</v>
      </c>
      <c r="BH27" s="41">
        <v>859</v>
      </c>
      <c r="BI27" s="2"/>
      <c r="BJ27" s="41">
        <v>920</v>
      </c>
      <c r="BK27" s="41">
        <v>573</v>
      </c>
      <c r="BM27" s="45">
        <v>4817</v>
      </c>
      <c r="BN27" s="43">
        <v>1774</v>
      </c>
      <c r="BO27" s="43">
        <v>111</v>
      </c>
      <c r="BP27" s="43">
        <v>301</v>
      </c>
      <c r="BQ27" s="43">
        <v>38</v>
      </c>
      <c r="BR27" s="43">
        <v>2224</v>
      </c>
      <c r="BS27" s="211">
        <v>0.46169815237699813</v>
      </c>
    </row>
    <row r="28" spans="1:71" x14ac:dyDescent="0.25">
      <c r="A28" s="191" t="s">
        <v>37</v>
      </c>
      <c r="B28" s="39"/>
      <c r="C28" s="41">
        <v>1454</v>
      </c>
      <c r="D28" s="41">
        <v>828</v>
      </c>
      <c r="E28" s="41">
        <v>12</v>
      </c>
      <c r="F28" s="41">
        <v>8</v>
      </c>
      <c r="G28" s="41">
        <v>4</v>
      </c>
      <c r="H28" s="2"/>
      <c r="I28" s="42"/>
      <c r="J28" s="42"/>
      <c r="K28" s="2"/>
      <c r="L28" s="41"/>
      <c r="M28" s="41"/>
      <c r="N28" s="41"/>
      <c r="O28" s="41"/>
      <c r="P28" s="41"/>
      <c r="Q28" s="41"/>
      <c r="R28" s="2"/>
      <c r="S28" s="41">
        <v>1275</v>
      </c>
      <c r="T28" s="41">
        <v>1025</v>
      </c>
      <c r="U28" s="2"/>
      <c r="V28" s="41">
        <v>1402</v>
      </c>
      <c r="W28" s="41">
        <v>1413</v>
      </c>
      <c r="X28" s="41">
        <v>855</v>
      </c>
      <c r="Y28" s="41">
        <v>831</v>
      </c>
      <c r="Z28" s="2"/>
      <c r="AA28" s="41"/>
      <c r="AB28" s="41"/>
      <c r="AC28" s="2"/>
      <c r="AD28" s="41"/>
      <c r="AE28" s="41"/>
      <c r="AF28" s="41"/>
      <c r="AG28" s="41"/>
      <c r="AH28" s="2"/>
      <c r="AI28" s="41"/>
      <c r="AJ28" s="41"/>
      <c r="AK28" s="42"/>
      <c r="AL28" s="2"/>
      <c r="AM28" s="42"/>
      <c r="AN28" s="42"/>
      <c r="AO28" s="42"/>
      <c r="AP28" s="42"/>
      <c r="AQ28" s="2"/>
      <c r="AR28" s="41">
        <v>1397</v>
      </c>
      <c r="AS28" s="41">
        <v>833</v>
      </c>
      <c r="AT28" s="2"/>
      <c r="AU28" s="41">
        <v>1536</v>
      </c>
      <c r="AV28" s="41">
        <v>712</v>
      </c>
      <c r="AW28" s="2"/>
      <c r="AX28" s="41">
        <v>1466</v>
      </c>
      <c r="AY28" s="41">
        <v>755</v>
      </c>
      <c r="AZ28" s="2"/>
      <c r="BA28" s="42"/>
      <c r="BB28" s="42"/>
      <c r="BC28" s="2"/>
      <c r="BD28" s="42"/>
      <c r="BE28" s="42"/>
      <c r="BF28" s="2"/>
      <c r="BG28" s="41">
        <v>1189</v>
      </c>
      <c r="BH28" s="41">
        <v>958</v>
      </c>
      <c r="BI28" s="2"/>
      <c r="BJ28" s="41">
        <v>1490</v>
      </c>
      <c r="BK28" s="41">
        <v>639</v>
      </c>
      <c r="BM28" s="45">
        <v>6978</v>
      </c>
      <c r="BN28" s="43">
        <v>2671</v>
      </c>
      <c r="BO28" s="43">
        <v>332</v>
      </c>
      <c r="BP28" s="43">
        <v>601</v>
      </c>
      <c r="BQ28" s="43">
        <v>62</v>
      </c>
      <c r="BR28" s="43">
        <v>3666</v>
      </c>
      <c r="BS28" s="211">
        <v>0.52536543422184012</v>
      </c>
    </row>
    <row r="29" spans="1:71" x14ac:dyDescent="0.25">
      <c r="A29" s="191" t="s">
        <v>38</v>
      </c>
      <c r="B29" s="39"/>
      <c r="C29" s="41">
        <v>320</v>
      </c>
      <c r="D29" s="41">
        <v>1334</v>
      </c>
      <c r="E29" s="41">
        <v>11</v>
      </c>
      <c r="F29" s="41">
        <v>2</v>
      </c>
      <c r="G29" s="41">
        <v>3</v>
      </c>
      <c r="H29" s="2"/>
      <c r="I29" s="42"/>
      <c r="J29" s="42"/>
      <c r="K29" s="2"/>
      <c r="L29" s="41"/>
      <c r="M29" s="41"/>
      <c r="N29" s="41"/>
      <c r="O29" s="41"/>
      <c r="P29" s="41"/>
      <c r="Q29" s="41"/>
      <c r="R29" s="2"/>
      <c r="S29" s="41">
        <v>303</v>
      </c>
      <c r="T29" s="41">
        <v>1293</v>
      </c>
      <c r="U29" s="2"/>
      <c r="V29" s="41">
        <v>312</v>
      </c>
      <c r="W29" s="41">
        <v>291</v>
      </c>
      <c r="X29" s="41">
        <v>1256</v>
      </c>
      <c r="Y29" s="41">
        <v>1209</v>
      </c>
      <c r="Z29" s="2"/>
      <c r="AA29" s="41"/>
      <c r="AB29" s="41"/>
      <c r="AC29" s="2"/>
      <c r="AD29" s="41"/>
      <c r="AE29" s="41"/>
      <c r="AF29" s="41"/>
      <c r="AG29" s="41"/>
      <c r="AH29" s="2"/>
      <c r="AI29" s="41"/>
      <c r="AJ29" s="41"/>
      <c r="AK29" s="42"/>
      <c r="AL29" s="2"/>
      <c r="AM29" s="42"/>
      <c r="AN29" s="42"/>
      <c r="AO29" s="42"/>
      <c r="AP29" s="42"/>
      <c r="AQ29" s="2"/>
      <c r="AR29" s="41">
        <v>297</v>
      </c>
      <c r="AS29" s="41">
        <v>1241</v>
      </c>
      <c r="AT29" s="46"/>
      <c r="AU29" s="41">
        <v>348</v>
      </c>
      <c r="AV29" s="41">
        <v>1203</v>
      </c>
      <c r="AW29" s="2"/>
      <c r="AX29" s="41"/>
      <c r="AY29" s="41"/>
      <c r="AZ29" s="2"/>
      <c r="BA29" s="42"/>
      <c r="BB29" s="42"/>
      <c r="BC29" s="2"/>
      <c r="BD29" s="42"/>
      <c r="BE29" s="42"/>
      <c r="BF29" s="2"/>
      <c r="BG29" s="41">
        <v>586</v>
      </c>
      <c r="BH29" s="41">
        <v>440</v>
      </c>
      <c r="BI29" s="2"/>
      <c r="BJ29" s="41">
        <v>544</v>
      </c>
      <c r="BK29" s="41">
        <v>321</v>
      </c>
      <c r="BM29" s="45">
        <v>12789</v>
      </c>
      <c r="BN29" s="41">
        <v>1710</v>
      </c>
      <c r="BO29" s="41">
        <v>190</v>
      </c>
      <c r="BP29" s="41">
        <v>911</v>
      </c>
      <c r="BQ29" s="41">
        <v>99</v>
      </c>
      <c r="BR29" s="43">
        <v>2910</v>
      </c>
      <c r="BS29" s="211">
        <v>0.22753929157870045</v>
      </c>
    </row>
    <row r="30" spans="1:71" x14ac:dyDescent="0.25">
      <c r="A30" s="191" t="s">
        <v>39</v>
      </c>
      <c r="B30" s="39"/>
      <c r="C30" s="41">
        <v>333</v>
      </c>
      <c r="D30" s="41">
        <v>139</v>
      </c>
      <c r="E30" s="41">
        <v>0</v>
      </c>
      <c r="F30" s="41">
        <v>1</v>
      </c>
      <c r="G30" s="41">
        <v>0</v>
      </c>
      <c r="H30" s="2"/>
      <c r="I30" s="42"/>
      <c r="J30" s="42"/>
      <c r="K30" s="2"/>
      <c r="L30" s="42"/>
      <c r="M30" s="42"/>
      <c r="N30" s="42"/>
      <c r="O30" s="42"/>
      <c r="P30" s="42"/>
      <c r="Q30" s="42"/>
      <c r="R30" s="2"/>
      <c r="S30" s="42"/>
      <c r="T30" s="42"/>
      <c r="U30" s="2"/>
      <c r="V30" s="42"/>
      <c r="W30" s="42"/>
      <c r="X30" s="42"/>
      <c r="Y30" s="42"/>
      <c r="Z30" s="2"/>
      <c r="AA30" s="42"/>
      <c r="AB30" s="42"/>
      <c r="AC30" s="2"/>
      <c r="AD30" s="42"/>
      <c r="AE30" s="42"/>
      <c r="AF30" s="42"/>
      <c r="AG30" s="42"/>
      <c r="AH30" s="2"/>
      <c r="AI30" s="41">
        <v>349</v>
      </c>
      <c r="AJ30" s="41">
        <v>118</v>
      </c>
      <c r="AK30" s="41">
        <v>4</v>
      </c>
      <c r="AL30" s="2"/>
      <c r="AM30" s="41">
        <v>346</v>
      </c>
      <c r="AN30" s="41">
        <v>350</v>
      </c>
      <c r="AO30" s="41">
        <v>118</v>
      </c>
      <c r="AP30" s="41">
        <v>108</v>
      </c>
      <c r="AQ30" s="2"/>
      <c r="AR30" s="41">
        <v>329</v>
      </c>
      <c r="AS30" s="41">
        <v>140</v>
      </c>
      <c r="AT30" s="2"/>
      <c r="AU30" s="41">
        <v>343</v>
      </c>
      <c r="AV30" s="41">
        <v>115</v>
      </c>
      <c r="AW30" s="2"/>
      <c r="AX30" s="42"/>
      <c r="AY30" s="42"/>
      <c r="AZ30" s="2"/>
      <c r="BA30" s="41"/>
      <c r="BB30" s="41"/>
      <c r="BC30" s="2"/>
      <c r="BD30" s="41"/>
      <c r="BE30" s="41"/>
      <c r="BF30" s="2"/>
      <c r="BG30" s="41">
        <v>194</v>
      </c>
      <c r="BH30" s="41">
        <v>242</v>
      </c>
      <c r="BI30" s="2"/>
      <c r="BJ30" s="41">
        <v>269</v>
      </c>
      <c r="BK30" s="41">
        <v>165</v>
      </c>
      <c r="BM30" s="45">
        <v>978</v>
      </c>
      <c r="BN30" s="43">
        <v>481</v>
      </c>
      <c r="BO30" s="43">
        <v>30</v>
      </c>
      <c r="BP30" s="43">
        <v>66</v>
      </c>
      <c r="BQ30" s="43">
        <v>8</v>
      </c>
      <c r="BR30" s="43">
        <v>585</v>
      </c>
      <c r="BS30" s="211">
        <v>0.59815950920245398</v>
      </c>
    </row>
    <row r="31" spans="1:71" x14ac:dyDescent="0.25">
      <c r="A31" s="191" t="s">
        <v>40</v>
      </c>
      <c r="B31" s="39"/>
      <c r="C31" s="41">
        <v>1636</v>
      </c>
      <c r="D31" s="41">
        <v>1006</v>
      </c>
      <c r="E31" s="41">
        <v>11</v>
      </c>
      <c r="F31" s="41">
        <v>6</v>
      </c>
      <c r="G31" s="41">
        <v>2</v>
      </c>
      <c r="H31" s="2"/>
      <c r="I31" s="42"/>
      <c r="J31" s="42"/>
      <c r="K31" s="2"/>
      <c r="L31" s="41"/>
      <c r="M31" s="41"/>
      <c r="N31" s="41"/>
      <c r="O31" s="41"/>
      <c r="P31" s="41"/>
      <c r="Q31" s="41"/>
      <c r="R31" s="2"/>
      <c r="S31" s="41">
        <v>1549</v>
      </c>
      <c r="T31" s="41">
        <v>1065</v>
      </c>
      <c r="U31" s="2"/>
      <c r="V31" s="41">
        <v>1505</v>
      </c>
      <c r="W31" s="41">
        <v>1531</v>
      </c>
      <c r="X31" s="41">
        <v>1068</v>
      </c>
      <c r="Y31" s="41">
        <v>1015</v>
      </c>
      <c r="Z31" s="2"/>
      <c r="AA31" s="41"/>
      <c r="AB31" s="41"/>
      <c r="AC31" s="2"/>
      <c r="AD31" s="41"/>
      <c r="AE31" s="41"/>
      <c r="AF31" s="41"/>
      <c r="AG31" s="41"/>
      <c r="AH31" s="2"/>
      <c r="AI31" s="41"/>
      <c r="AJ31" s="41"/>
      <c r="AK31" s="42"/>
      <c r="AL31" s="2"/>
      <c r="AM31" s="41"/>
      <c r="AN31" s="42"/>
      <c r="AO31" s="42"/>
      <c r="AP31" s="42"/>
      <c r="AQ31" s="2"/>
      <c r="AR31" s="41">
        <v>1597</v>
      </c>
      <c r="AS31" s="41">
        <v>970</v>
      </c>
      <c r="AT31" s="2"/>
      <c r="AU31" s="41">
        <v>1664</v>
      </c>
      <c r="AV31" s="41">
        <v>891</v>
      </c>
      <c r="AW31" s="2"/>
      <c r="AX31" s="41">
        <v>1684</v>
      </c>
      <c r="AY31" s="41">
        <v>892</v>
      </c>
      <c r="AZ31" s="2"/>
      <c r="BA31" s="42"/>
      <c r="BB31" s="42"/>
      <c r="BC31" s="2"/>
      <c r="BD31" s="42"/>
      <c r="BE31" s="42"/>
      <c r="BF31" s="2"/>
      <c r="BG31" s="41">
        <v>1112</v>
      </c>
      <c r="BH31" s="41">
        <v>1227</v>
      </c>
      <c r="BI31" s="2"/>
      <c r="BJ31" s="41">
        <v>1487</v>
      </c>
      <c r="BK31" s="41">
        <v>795</v>
      </c>
      <c r="BM31" s="45">
        <v>8276</v>
      </c>
      <c r="BN31" s="43">
        <v>2688</v>
      </c>
      <c r="BO31" s="43">
        <v>185</v>
      </c>
      <c r="BP31" s="43">
        <v>567</v>
      </c>
      <c r="BQ31" s="43">
        <v>57</v>
      </c>
      <c r="BR31" s="43">
        <v>3497</v>
      </c>
      <c r="BS31" s="211">
        <v>0.42254712421459645</v>
      </c>
    </row>
    <row r="32" spans="1:71" x14ac:dyDescent="0.25">
      <c r="A32" s="191" t="s">
        <v>41</v>
      </c>
      <c r="B32" s="39"/>
      <c r="C32" s="41">
        <v>1316</v>
      </c>
      <c r="D32" s="41">
        <v>794</v>
      </c>
      <c r="E32" s="41">
        <v>5</v>
      </c>
      <c r="F32" s="41">
        <v>4</v>
      </c>
      <c r="G32" s="41">
        <v>4</v>
      </c>
      <c r="H32" s="2"/>
      <c r="I32" s="42"/>
      <c r="J32" s="42"/>
      <c r="K32" s="2"/>
      <c r="L32" s="41"/>
      <c r="M32" s="41"/>
      <c r="N32" s="41"/>
      <c r="O32" s="41"/>
      <c r="P32" s="41"/>
      <c r="Q32" s="41"/>
      <c r="R32" s="2"/>
      <c r="S32" s="41">
        <v>1234</v>
      </c>
      <c r="T32" s="41">
        <v>850</v>
      </c>
      <c r="U32" s="2"/>
      <c r="V32" s="41">
        <v>1268</v>
      </c>
      <c r="W32" s="41">
        <v>1297</v>
      </c>
      <c r="X32" s="41">
        <v>781</v>
      </c>
      <c r="Y32" s="41">
        <v>726</v>
      </c>
      <c r="Z32" s="2"/>
      <c r="AA32" s="41"/>
      <c r="AB32" s="41"/>
      <c r="AC32" s="2"/>
      <c r="AD32" s="41"/>
      <c r="AE32" s="41"/>
      <c r="AF32" s="41"/>
      <c r="AG32" s="41"/>
      <c r="AH32" s="2"/>
      <c r="AI32" s="41"/>
      <c r="AJ32" s="41"/>
      <c r="AK32" s="42"/>
      <c r="AL32" s="2"/>
      <c r="AM32" s="42"/>
      <c r="AN32" s="42"/>
      <c r="AO32" s="42"/>
      <c r="AP32" s="42"/>
      <c r="AQ32" s="2"/>
      <c r="AR32" s="41">
        <v>1259</v>
      </c>
      <c r="AS32" s="41">
        <v>783</v>
      </c>
      <c r="AT32" s="2"/>
      <c r="AU32" s="41">
        <v>1333</v>
      </c>
      <c r="AV32" s="41">
        <v>716</v>
      </c>
      <c r="AW32" s="2"/>
      <c r="AX32" s="41">
        <v>1303</v>
      </c>
      <c r="AY32" s="41">
        <v>728</v>
      </c>
      <c r="AZ32" s="2"/>
      <c r="BA32" s="42"/>
      <c r="BB32" s="42"/>
      <c r="BC32" s="2"/>
      <c r="BD32" s="42"/>
      <c r="BE32" s="42"/>
      <c r="BF32" s="2"/>
      <c r="BG32" s="41">
        <v>865</v>
      </c>
      <c r="BH32" s="41">
        <v>714</v>
      </c>
      <c r="BI32" s="2"/>
      <c r="BJ32" s="41">
        <v>948</v>
      </c>
      <c r="BK32" s="41">
        <v>477</v>
      </c>
      <c r="BM32" s="47">
        <v>7565</v>
      </c>
      <c r="BN32" s="43">
        <v>2139</v>
      </c>
      <c r="BO32" s="43">
        <v>158</v>
      </c>
      <c r="BP32" s="43">
        <v>627</v>
      </c>
      <c r="BQ32" s="43">
        <v>77</v>
      </c>
      <c r="BR32" s="43">
        <v>3001</v>
      </c>
      <c r="BS32" s="211">
        <v>0.39669530733641772</v>
      </c>
    </row>
    <row r="33" spans="1:72" x14ac:dyDescent="0.25">
      <c r="A33" s="191" t="s">
        <v>42</v>
      </c>
      <c r="B33" s="39"/>
      <c r="C33" s="41">
        <v>540</v>
      </c>
      <c r="D33" s="41">
        <v>196</v>
      </c>
      <c r="E33" s="41">
        <v>5</v>
      </c>
      <c r="F33" s="41">
        <v>5</v>
      </c>
      <c r="G33" s="41">
        <v>0</v>
      </c>
      <c r="H33" s="2"/>
      <c r="I33" s="41">
        <v>544</v>
      </c>
      <c r="J33" s="41">
        <v>184</v>
      </c>
      <c r="K33" s="2"/>
      <c r="L33" s="41">
        <v>511</v>
      </c>
      <c r="M33" s="41">
        <v>503</v>
      </c>
      <c r="N33" s="41">
        <v>192</v>
      </c>
      <c r="O33" s="41">
        <v>193</v>
      </c>
      <c r="P33" s="41">
        <v>17</v>
      </c>
      <c r="Q33" s="41">
        <v>11</v>
      </c>
      <c r="R33" s="2"/>
      <c r="S33" s="41"/>
      <c r="T33" s="41"/>
      <c r="U33" s="2"/>
      <c r="V33" s="42"/>
      <c r="W33" s="42"/>
      <c r="X33" s="42"/>
      <c r="Y33" s="42"/>
      <c r="Z33" s="2"/>
      <c r="AA33" s="42"/>
      <c r="AB33" s="42"/>
      <c r="AC33" s="2"/>
      <c r="AD33" s="42"/>
      <c r="AE33" s="42"/>
      <c r="AF33" s="42"/>
      <c r="AG33" s="42"/>
      <c r="AH33" s="2"/>
      <c r="AI33" s="42"/>
      <c r="AJ33" s="42"/>
      <c r="AK33" s="42"/>
      <c r="AL33" s="2"/>
      <c r="AM33" s="42"/>
      <c r="AN33" s="42"/>
      <c r="AO33" s="42"/>
      <c r="AP33" s="42"/>
      <c r="AQ33" s="2"/>
      <c r="AR33" s="41">
        <v>518</v>
      </c>
      <c r="AS33" s="41">
        <v>204</v>
      </c>
      <c r="AT33" s="2"/>
      <c r="AU33" s="41">
        <v>546</v>
      </c>
      <c r="AV33" s="41">
        <v>174</v>
      </c>
      <c r="AW33" s="2"/>
      <c r="AX33" s="41"/>
      <c r="AY33" s="41"/>
      <c r="AZ33" s="2"/>
      <c r="BA33" s="42"/>
      <c r="BB33" s="42"/>
      <c r="BC33" s="2"/>
      <c r="BD33" s="41">
        <v>536</v>
      </c>
      <c r="BE33" s="41">
        <v>184</v>
      </c>
      <c r="BF33" s="2"/>
      <c r="BG33" s="41">
        <v>281</v>
      </c>
      <c r="BH33" s="41">
        <v>388</v>
      </c>
      <c r="BI33" s="2"/>
      <c r="BJ33" s="41">
        <v>414</v>
      </c>
      <c r="BK33" s="41">
        <v>242</v>
      </c>
      <c r="BM33" s="45">
        <v>2266</v>
      </c>
      <c r="BN33" s="43">
        <v>752</v>
      </c>
      <c r="BO33" s="43">
        <v>161</v>
      </c>
      <c r="BP33" s="43">
        <v>227</v>
      </c>
      <c r="BQ33" s="43">
        <v>10</v>
      </c>
      <c r="BR33" s="43">
        <v>1150</v>
      </c>
      <c r="BS33" s="211">
        <v>0.50750220653133271</v>
      </c>
    </row>
    <row r="34" spans="1:72" ht="15.75" thickBot="1" x14ac:dyDescent="0.3">
      <c r="A34" s="48"/>
      <c r="B34" s="48"/>
      <c r="C34" s="2"/>
      <c r="D34" s="2"/>
      <c r="E34" s="2"/>
      <c r="F34" s="2"/>
      <c r="G34" s="2"/>
      <c r="H34" s="2"/>
      <c r="I34" s="2"/>
      <c r="J34" s="2"/>
      <c r="K34" s="2"/>
      <c r="R34" s="2"/>
      <c r="S34" s="2"/>
      <c r="T34" s="2"/>
      <c r="U34" s="2"/>
      <c r="Z34" s="2"/>
      <c r="AC34" s="2"/>
      <c r="AH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M34" s="49"/>
      <c r="BN34" s="49"/>
      <c r="BO34" s="49"/>
      <c r="BP34" s="49"/>
      <c r="BQ34" s="49"/>
      <c r="BR34" s="49"/>
    </row>
    <row r="35" spans="1:72" ht="15.75" thickBot="1" x14ac:dyDescent="0.3">
      <c r="A35" s="50" t="s">
        <v>8</v>
      </c>
      <c r="B35" s="50"/>
      <c r="C35" s="51">
        <v>35549</v>
      </c>
      <c r="D35" s="51">
        <v>21155</v>
      </c>
      <c r="E35" s="51">
        <v>189</v>
      </c>
      <c r="F35" s="51">
        <v>154</v>
      </c>
      <c r="G35" s="51">
        <v>50</v>
      </c>
      <c r="H35" s="2"/>
      <c r="I35" s="51">
        <v>1255</v>
      </c>
      <c r="J35" s="51">
        <v>348</v>
      </c>
      <c r="K35" s="2"/>
      <c r="L35" s="51">
        <v>1188</v>
      </c>
      <c r="M35" s="51">
        <v>1172</v>
      </c>
      <c r="N35" s="51">
        <v>366</v>
      </c>
      <c r="O35" s="51">
        <v>362</v>
      </c>
      <c r="P35" s="51">
        <v>30</v>
      </c>
      <c r="Q35" s="51">
        <v>24</v>
      </c>
      <c r="R35" s="2"/>
      <c r="S35" s="51">
        <v>24929</v>
      </c>
      <c r="T35" s="51">
        <v>17801</v>
      </c>
      <c r="U35" s="2"/>
      <c r="V35" s="51">
        <v>24731</v>
      </c>
      <c r="W35" s="51">
        <v>25061</v>
      </c>
      <c r="X35" s="51">
        <v>17189</v>
      </c>
      <c r="Y35" s="51">
        <v>16349</v>
      </c>
      <c r="Z35" s="2"/>
      <c r="AA35" s="51">
        <v>2375</v>
      </c>
      <c r="AB35" s="51">
        <v>925</v>
      </c>
      <c r="AC35" s="2"/>
      <c r="AD35" s="51">
        <v>2529</v>
      </c>
      <c r="AE35" s="51">
        <v>2290</v>
      </c>
      <c r="AF35" s="51">
        <v>848</v>
      </c>
      <c r="AG35" s="51">
        <v>839</v>
      </c>
      <c r="AH35" s="2"/>
      <c r="AI35" s="51">
        <v>5304</v>
      </c>
      <c r="AJ35" s="51">
        <v>2640</v>
      </c>
      <c r="AK35" s="51">
        <v>64</v>
      </c>
      <c r="AL35" s="2"/>
      <c r="AM35" s="51">
        <v>5217</v>
      </c>
      <c r="AN35" s="51">
        <v>5175</v>
      </c>
      <c r="AO35" s="51">
        <v>2678</v>
      </c>
      <c r="AP35" s="51">
        <v>2615</v>
      </c>
      <c r="AQ35" s="2"/>
      <c r="AR35" s="51">
        <v>34159</v>
      </c>
      <c r="AS35" s="51">
        <v>20696</v>
      </c>
      <c r="AT35" s="2"/>
      <c r="AU35" s="51">
        <v>35874</v>
      </c>
      <c r="AV35" s="51">
        <v>18770</v>
      </c>
      <c r="AW35" s="2"/>
      <c r="AX35" s="51">
        <v>8480</v>
      </c>
      <c r="AY35" s="51">
        <v>4487</v>
      </c>
      <c r="AZ35" s="2"/>
      <c r="BA35" s="51">
        <v>7473</v>
      </c>
      <c r="BB35" s="51">
        <v>4238</v>
      </c>
      <c r="BC35" s="2"/>
      <c r="BD35" s="51">
        <v>9757</v>
      </c>
      <c r="BE35" s="51">
        <v>3444</v>
      </c>
      <c r="BF35" s="2"/>
      <c r="BG35" s="51">
        <v>23486</v>
      </c>
      <c r="BH35" s="51">
        <v>22803</v>
      </c>
      <c r="BI35" s="2"/>
      <c r="BJ35" s="51">
        <v>28921</v>
      </c>
      <c r="BK35" s="51">
        <v>15047</v>
      </c>
      <c r="BM35" s="52">
        <v>209646</v>
      </c>
      <c r="BN35" s="52">
        <v>58124</v>
      </c>
      <c r="BO35" s="52">
        <v>7008</v>
      </c>
      <c r="BP35" s="52">
        <v>15524</v>
      </c>
      <c r="BQ35" s="52">
        <v>1963</v>
      </c>
      <c r="BR35" s="52">
        <v>82619</v>
      </c>
      <c r="BS35" s="211">
        <v>0.39408812951356098</v>
      </c>
    </row>
    <row r="36" spans="1:72" x14ac:dyDescent="0.25">
      <c r="A36" s="39" t="s">
        <v>146</v>
      </c>
      <c r="B36" s="39"/>
      <c r="C36" s="53">
        <v>3338</v>
      </c>
      <c r="D36" s="53">
        <v>3531</v>
      </c>
      <c r="E36" s="53">
        <v>27</v>
      </c>
      <c r="F36" s="53">
        <v>11</v>
      </c>
      <c r="G36" s="53">
        <v>10</v>
      </c>
      <c r="H36" s="2"/>
      <c r="I36" s="53">
        <v>122</v>
      </c>
      <c r="J36" s="53">
        <v>84</v>
      </c>
      <c r="K36" s="2"/>
      <c r="L36" s="53">
        <v>119</v>
      </c>
      <c r="M36" s="53">
        <v>113</v>
      </c>
      <c r="N36" s="53">
        <v>87</v>
      </c>
      <c r="O36" s="53">
        <v>87</v>
      </c>
      <c r="P36" s="53">
        <v>1</v>
      </c>
      <c r="Q36" s="53">
        <v>0</v>
      </c>
      <c r="R36" s="2"/>
      <c r="S36" s="53">
        <v>1927</v>
      </c>
      <c r="T36" s="53">
        <v>2385</v>
      </c>
      <c r="U36" s="2"/>
      <c r="V36" s="53">
        <v>1934</v>
      </c>
      <c r="W36" s="53">
        <v>1957</v>
      </c>
      <c r="X36" s="53">
        <v>2315</v>
      </c>
      <c r="Y36" s="53">
        <v>2292</v>
      </c>
      <c r="Z36" s="2"/>
      <c r="AA36" s="53">
        <v>342</v>
      </c>
      <c r="AB36" s="53">
        <v>244</v>
      </c>
      <c r="AC36" s="2"/>
      <c r="AD36" s="53">
        <v>392</v>
      </c>
      <c r="AE36" s="53">
        <v>334</v>
      </c>
      <c r="AF36" s="53">
        <v>207</v>
      </c>
      <c r="AG36" s="53">
        <v>221</v>
      </c>
      <c r="AH36" s="2"/>
      <c r="AI36" s="53">
        <v>843</v>
      </c>
      <c r="AJ36" s="53">
        <v>778</v>
      </c>
      <c r="AK36" s="53">
        <v>13</v>
      </c>
      <c r="AL36" s="2"/>
      <c r="AM36" s="53">
        <v>842</v>
      </c>
      <c r="AN36" s="53">
        <v>846</v>
      </c>
      <c r="AO36" s="53">
        <v>784</v>
      </c>
      <c r="AP36" s="53">
        <v>781</v>
      </c>
      <c r="AQ36" s="2"/>
      <c r="AR36" s="53">
        <v>3258</v>
      </c>
      <c r="AS36" s="53">
        <v>3420</v>
      </c>
      <c r="AT36" s="2"/>
      <c r="AU36" s="53">
        <v>3462</v>
      </c>
      <c r="AV36" s="53">
        <v>3154</v>
      </c>
      <c r="AW36" s="2"/>
      <c r="AX36" s="53">
        <v>687</v>
      </c>
      <c r="AY36" s="53">
        <v>546</v>
      </c>
      <c r="AZ36" s="2"/>
      <c r="BA36" s="53">
        <v>620</v>
      </c>
      <c r="BB36" s="53">
        <v>646</v>
      </c>
      <c r="BC36" s="2"/>
      <c r="BD36" s="53">
        <v>936</v>
      </c>
      <c r="BE36" s="53">
        <v>585</v>
      </c>
      <c r="BF36" s="2"/>
      <c r="BG36" s="53">
        <v>3115</v>
      </c>
      <c r="BH36" s="53">
        <v>3209</v>
      </c>
      <c r="BI36" s="2"/>
      <c r="BJ36" s="53">
        <v>4250</v>
      </c>
      <c r="BK36" s="53">
        <v>2051</v>
      </c>
      <c r="BM36" s="49"/>
      <c r="BN36" s="49"/>
      <c r="BO36" s="49"/>
      <c r="BP36" s="49"/>
      <c r="BQ36" s="49"/>
      <c r="BR36" s="49"/>
    </row>
    <row r="37" spans="1:72" x14ac:dyDescent="0.25">
      <c r="A37" s="39" t="s">
        <v>43</v>
      </c>
      <c r="B37" s="54"/>
      <c r="C37" s="53">
        <v>5118</v>
      </c>
      <c r="D37" s="53">
        <v>9954</v>
      </c>
      <c r="E37" s="53">
        <v>63</v>
      </c>
      <c r="F37" s="53">
        <v>45</v>
      </c>
      <c r="G37" s="53">
        <v>21</v>
      </c>
      <c r="H37" s="2"/>
      <c r="I37" s="53">
        <v>156</v>
      </c>
      <c r="J37" s="53">
        <v>190</v>
      </c>
      <c r="K37" s="2"/>
      <c r="L37" s="53">
        <v>149</v>
      </c>
      <c r="M37" s="53">
        <v>146</v>
      </c>
      <c r="N37" s="53">
        <v>199</v>
      </c>
      <c r="O37" s="53">
        <v>192</v>
      </c>
      <c r="P37" s="53">
        <v>5</v>
      </c>
      <c r="Q37" s="53">
        <v>4</v>
      </c>
      <c r="R37" s="2"/>
      <c r="S37" s="53">
        <v>3920</v>
      </c>
      <c r="T37" s="53">
        <v>8087</v>
      </c>
      <c r="U37" s="2"/>
      <c r="V37" s="53">
        <v>4242</v>
      </c>
      <c r="W37" s="53">
        <v>4089</v>
      </c>
      <c r="X37" s="53">
        <v>7709</v>
      </c>
      <c r="Y37" s="53">
        <v>7592</v>
      </c>
      <c r="Z37" s="2"/>
      <c r="AA37" s="53">
        <v>337</v>
      </c>
      <c r="AB37" s="53">
        <v>427</v>
      </c>
      <c r="AC37" s="2"/>
      <c r="AD37" s="53">
        <v>398</v>
      </c>
      <c r="AE37" s="53">
        <v>335</v>
      </c>
      <c r="AF37" s="53">
        <v>377</v>
      </c>
      <c r="AG37" s="53">
        <v>380</v>
      </c>
      <c r="AH37" s="2"/>
      <c r="AI37" s="53">
        <v>669</v>
      </c>
      <c r="AJ37" s="53">
        <v>1311</v>
      </c>
      <c r="AK37" s="53">
        <v>13</v>
      </c>
      <c r="AL37" s="2"/>
      <c r="AM37" s="53">
        <v>649</v>
      </c>
      <c r="AN37" s="53">
        <v>666</v>
      </c>
      <c r="AO37" s="53">
        <v>1325</v>
      </c>
      <c r="AP37" s="53">
        <v>1308</v>
      </c>
      <c r="AQ37" s="2"/>
      <c r="AR37" s="53">
        <v>5074</v>
      </c>
      <c r="AS37" s="53">
        <v>9847</v>
      </c>
      <c r="AT37" s="2"/>
      <c r="AU37" s="53">
        <v>5703</v>
      </c>
      <c r="AV37" s="53">
        <v>9155</v>
      </c>
      <c r="AW37" s="2"/>
      <c r="AX37" s="53">
        <v>1198</v>
      </c>
      <c r="AY37" s="53">
        <v>2338</v>
      </c>
      <c r="AZ37" s="2"/>
      <c r="BA37" s="53">
        <v>909</v>
      </c>
      <c r="BB37" s="53">
        <v>1964</v>
      </c>
      <c r="BC37" s="2"/>
      <c r="BD37" s="53">
        <v>1254</v>
      </c>
      <c r="BE37" s="53">
        <v>1536</v>
      </c>
      <c r="BF37" s="2"/>
      <c r="BG37" s="53">
        <v>5586</v>
      </c>
      <c r="BH37" s="53">
        <v>7013</v>
      </c>
      <c r="BI37" s="2"/>
      <c r="BJ37" s="53">
        <v>8311</v>
      </c>
      <c r="BK37" s="53">
        <v>4050</v>
      </c>
      <c r="BM37" s="49"/>
      <c r="BN37" s="49"/>
      <c r="BO37" s="49"/>
      <c r="BP37" s="49"/>
      <c r="BQ37" s="49"/>
      <c r="BR37" s="49"/>
    </row>
    <row r="38" spans="1:72" s="192" customFormat="1" x14ac:dyDescent="0.25">
      <c r="A38" s="94" t="s">
        <v>644</v>
      </c>
      <c r="B38" s="54"/>
      <c r="C38" s="53">
        <v>105</v>
      </c>
      <c r="D38" s="53">
        <v>169</v>
      </c>
      <c r="E38" s="53">
        <v>0</v>
      </c>
      <c r="F38" s="53">
        <v>1</v>
      </c>
      <c r="G38" s="53">
        <v>0</v>
      </c>
      <c r="H38" s="2"/>
      <c r="I38" s="53">
        <v>3</v>
      </c>
      <c r="J38" s="53">
        <v>5</v>
      </c>
      <c r="K38" s="2"/>
      <c r="L38" s="53">
        <v>3</v>
      </c>
      <c r="M38" s="53">
        <v>3</v>
      </c>
      <c r="N38" s="53">
        <v>5</v>
      </c>
      <c r="O38" s="53">
        <v>5</v>
      </c>
      <c r="P38" s="53">
        <v>0</v>
      </c>
      <c r="Q38" s="53">
        <v>0</v>
      </c>
      <c r="R38" s="2"/>
      <c r="S38" s="53">
        <v>72</v>
      </c>
      <c r="T38" s="53">
        <v>107</v>
      </c>
      <c r="U38" s="2"/>
      <c r="V38" s="53">
        <v>73</v>
      </c>
      <c r="W38" s="53">
        <v>73</v>
      </c>
      <c r="X38" s="53">
        <v>105</v>
      </c>
      <c r="Y38" s="53">
        <v>104</v>
      </c>
      <c r="Z38" s="2"/>
      <c r="AA38" s="53">
        <v>10</v>
      </c>
      <c r="AB38" s="53">
        <v>11</v>
      </c>
      <c r="AC38" s="2"/>
      <c r="AD38" s="53">
        <v>11</v>
      </c>
      <c r="AE38" s="53">
        <v>9</v>
      </c>
      <c r="AF38" s="53">
        <v>10</v>
      </c>
      <c r="AG38" s="53">
        <v>11</v>
      </c>
      <c r="AH38" s="2"/>
      <c r="AI38" s="53">
        <v>21</v>
      </c>
      <c r="AJ38" s="53">
        <v>40</v>
      </c>
      <c r="AK38" s="53">
        <v>0</v>
      </c>
      <c r="AL38" s="2"/>
      <c r="AM38" s="53">
        <v>16</v>
      </c>
      <c r="AN38" s="53">
        <v>18</v>
      </c>
      <c r="AO38" s="53">
        <v>41</v>
      </c>
      <c r="AP38" s="53">
        <v>43</v>
      </c>
      <c r="AQ38" s="2"/>
      <c r="AR38" s="53">
        <v>104</v>
      </c>
      <c r="AS38" s="53">
        <v>160</v>
      </c>
      <c r="AT38" s="2"/>
      <c r="AU38" s="53">
        <v>107</v>
      </c>
      <c r="AV38" s="53">
        <v>156</v>
      </c>
      <c r="AW38" s="2"/>
      <c r="AX38" s="53">
        <v>23</v>
      </c>
      <c r="AY38" s="53">
        <v>15</v>
      </c>
      <c r="AZ38" s="2"/>
      <c r="BA38" s="53">
        <v>17</v>
      </c>
      <c r="BB38" s="53">
        <v>26</v>
      </c>
      <c r="BC38" s="2"/>
      <c r="BD38" s="53">
        <v>27</v>
      </c>
      <c r="BE38" s="53">
        <v>28</v>
      </c>
      <c r="BF38" s="2"/>
      <c r="BG38" s="53">
        <v>127</v>
      </c>
      <c r="BH38" s="53">
        <v>116</v>
      </c>
      <c r="BI38" s="2"/>
      <c r="BJ38" s="53">
        <v>174</v>
      </c>
      <c r="BK38" s="53">
        <v>67</v>
      </c>
      <c r="BM38" s="49"/>
      <c r="BN38" s="49"/>
      <c r="BO38" s="49"/>
      <c r="BP38" s="49"/>
      <c r="BQ38" s="49"/>
      <c r="BR38" s="49"/>
      <c r="BS38" s="211"/>
    </row>
    <row r="39" spans="1:72" x14ac:dyDescent="0.25">
      <c r="A39" s="94" t="s">
        <v>645</v>
      </c>
      <c r="B39" s="54"/>
      <c r="C39" s="53">
        <v>777</v>
      </c>
      <c r="D39" s="53">
        <v>815</v>
      </c>
      <c r="E39" s="53">
        <v>17</v>
      </c>
      <c r="F39" s="53">
        <v>4</v>
      </c>
      <c r="G39" s="53">
        <v>2</v>
      </c>
      <c r="H39" s="2"/>
      <c r="I39" s="53">
        <v>14</v>
      </c>
      <c r="J39" s="53">
        <v>8</v>
      </c>
      <c r="K39" s="2"/>
      <c r="L39" s="53">
        <v>13</v>
      </c>
      <c r="M39" s="53">
        <v>13</v>
      </c>
      <c r="N39" s="53">
        <v>7</v>
      </c>
      <c r="O39" s="53">
        <v>6</v>
      </c>
      <c r="P39" s="53">
        <v>2</v>
      </c>
      <c r="Q39" s="53">
        <v>2</v>
      </c>
      <c r="R39" s="2"/>
      <c r="S39" s="53">
        <v>562</v>
      </c>
      <c r="T39" s="53">
        <v>726</v>
      </c>
      <c r="U39" s="2"/>
      <c r="V39" s="53">
        <v>582</v>
      </c>
      <c r="W39" s="53">
        <v>563</v>
      </c>
      <c r="X39" s="53">
        <v>675</v>
      </c>
      <c r="Y39" s="53">
        <v>686</v>
      </c>
      <c r="Z39" s="2"/>
      <c r="AA39" s="53">
        <v>48</v>
      </c>
      <c r="AB39" s="53">
        <v>15</v>
      </c>
      <c r="AC39" s="2"/>
      <c r="AD39" s="53">
        <v>49</v>
      </c>
      <c r="AE39" s="53">
        <v>48</v>
      </c>
      <c r="AF39" s="53">
        <v>13</v>
      </c>
      <c r="AG39" s="53">
        <v>15</v>
      </c>
      <c r="AH39" s="2"/>
      <c r="AI39" s="53">
        <v>127</v>
      </c>
      <c r="AJ39" s="53">
        <v>94</v>
      </c>
      <c r="AK39" s="53">
        <v>2</v>
      </c>
      <c r="AL39" s="2"/>
      <c r="AM39" s="53">
        <v>128</v>
      </c>
      <c r="AN39" s="53">
        <v>126</v>
      </c>
      <c r="AO39" s="53">
        <v>94</v>
      </c>
      <c r="AP39" s="53">
        <v>92</v>
      </c>
      <c r="AQ39" s="2"/>
      <c r="AR39" s="53">
        <v>751</v>
      </c>
      <c r="AS39" s="53">
        <v>807</v>
      </c>
      <c r="AT39" s="2"/>
      <c r="AU39" s="53">
        <v>784</v>
      </c>
      <c r="AV39" s="53">
        <v>772</v>
      </c>
      <c r="AW39" s="2"/>
      <c r="AX39" s="53">
        <v>232</v>
      </c>
      <c r="AY39" s="53">
        <v>177</v>
      </c>
      <c r="AZ39" s="2"/>
      <c r="BA39" s="53">
        <v>155</v>
      </c>
      <c r="BB39" s="53">
        <v>160</v>
      </c>
      <c r="BC39" s="2"/>
      <c r="BD39" s="53">
        <v>165</v>
      </c>
      <c r="BE39" s="53">
        <v>104</v>
      </c>
      <c r="BF39" s="2"/>
      <c r="BG39" s="53">
        <v>589</v>
      </c>
      <c r="BH39" s="53">
        <v>568</v>
      </c>
      <c r="BI39" s="2"/>
      <c r="BJ39" s="53">
        <v>757</v>
      </c>
      <c r="BK39" s="53">
        <v>369</v>
      </c>
      <c r="BM39" s="55"/>
      <c r="BN39" s="55"/>
      <c r="BO39" s="55"/>
      <c r="BP39" s="55"/>
      <c r="BQ39" s="55"/>
      <c r="BR39" s="56"/>
    </row>
    <row r="40" spans="1:72" s="192" customFormat="1" ht="15.75" thickBot="1" x14ac:dyDescent="0.3">
      <c r="A40" s="94" t="s">
        <v>651</v>
      </c>
      <c r="B40" s="54"/>
      <c r="C40" s="53">
        <v>90</v>
      </c>
      <c r="D40" s="53">
        <v>112</v>
      </c>
      <c r="E40" s="53">
        <v>0</v>
      </c>
      <c r="F40" s="53">
        <v>0</v>
      </c>
      <c r="G40" s="53">
        <v>1</v>
      </c>
      <c r="H40" s="2"/>
      <c r="I40" s="53">
        <v>2</v>
      </c>
      <c r="J40" s="53">
        <v>0</v>
      </c>
      <c r="K40" s="2"/>
      <c r="L40" s="53">
        <v>2</v>
      </c>
      <c r="M40" s="53">
        <v>2</v>
      </c>
      <c r="N40" s="53">
        <v>0</v>
      </c>
      <c r="O40" s="53">
        <v>0</v>
      </c>
      <c r="P40" s="53">
        <v>0</v>
      </c>
      <c r="Q40" s="53">
        <v>0</v>
      </c>
      <c r="R40" s="2"/>
      <c r="S40" s="53">
        <v>78</v>
      </c>
      <c r="T40" s="53">
        <v>107</v>
      </c>
      <c r="U40" s="2"/>
      <c r="V40" s="53">
        <v>78</v>
      </c>
      <c r="W40" s="53">
        <v>75</v>
      </c>
      <c r="X40" s="53">
        <v>101</v>
      </c>
      <c r="Y40" s="53">
        <v>104</v>
      </c>
      <c r="Z40" s="2"/>
      <c r="AA40" s="53">
        <v>2</v>
      </c>
      <c r="AB40" s="53">
        <v>3</v>
      </c>
      <c r="AC40" s="2"/>
      <c r="AD40" s="53">
        <v>2</v>
      </c>
      <c r="AE40" s="53">
        <v>2</v>
      </c>
      <c r="AF40" s="53">
        <v>3</v>
      </c>
      <c r="AG40" s="53">
        <v>3</v>
      </c>
      <c r="AH40" s="2"/>
      <c r="AI40" s="53">
        <v>5</v>
      </c>
      <c r="AJ40" s="53">
        <v>3</v>
      </c>
      <c r="AK40" s="53">
        <v>0</v>
      </c>
      <c r="AL40" s="2"/>
      <c r="AM40" s="53">
        <v>4</v>
      </c>
      <c r="AN40" s="53">
        <v>5</v>
      </c>
      <c r="AO40" s="53">
        <v>4</v>
      </c>
      <c r="AP40" s="53">
        <v>3</v>
      </c>
      <c r="AQ40" s="2"/>
      <c r="AR40" s="53">
        <v>89</v>
      </c>
      <c r="AS40" s="53">
        <v>116</v>
      </c>
      <c r="AT40" s="2"/>
      <c r="AU40" s="53">
        <v>90</v>
      </c>
      <c r="AV40" s="53">
        <v>114</v>
      </c>
      <c r="AW40" s="2"/>
      <c r="AX40" s="53">
        <v>21</v>
      </c>
      <c r="AY40" s="53">
        <v>19</v>
      </c>
      <c r="AZ40" s="2"/>
      <c r="BA40" s="53">
        <v>18</v>
      </c>
      <c r="BB40" s="53">
        <v>21</v>
      </c>
      <c r="BC40" s="2"/>
      <c r="BD40" s="53">
        <v>17</v>
      </c>
      <c r="BE40" s="53">
        <v>14</v>
      </c>
      <c r="BF40" s="2"/>
      <c r="BG40" s="53">
        <v>58</v>
      </c>
      <c r="BH40" s="53">
        <v>49</v>
      </c>
      <c r="BI40" s="2"/>
      <c r="BJ40" s="53">
        <v>70</v>
      </c>
      <c r="BK40" s="53">
        <v>36</v>
      </c>
      <c r="BM40" s="55"/>
      <c r="BN40" s="55"/>
      <c r="BO40" s="55"/>
      <c r="BP40" s="55"/>
      <c r="BQ40" s="55"/>
      <c r="BR40" s="56"/>
      <c r="BS40" s="211"/>
    </row>
    <row r="41" spans="1:72" ht="15.75" thickBot="1" x14ac:dyDescent="0.3">
      <c r="A41" s="50" t="s">
        <v>45</v>
      </c>
      <c r="B41" s="50"/>
      <c r="C41" s="51">
        <v>44977</v>
      </c>
      <c r="D41" s="51">
        <v>35736</v>
      </c>
      <c r="E41" s="51">
        <v>296</v>
      </c>
      <c r="F41" s="51">
        <v>215</v>
      </c>
      <c r="G41" s="51">
        <v>84</v>
      </c>
      <c r="H41" s="2"/>
      <c r="I41" s="51">
        <v>1552</v>
      </c>
      <c r="J41" s="51">
        <v>635</v>
      </c>
      <c r="K41" s="2"/>
      <c r="L41" s="51">
        <v>1474</v>
      </c>
      <c r="M41" s="51">
        <v>1449</v>
      </c>
      <c r="N41" s="51">
        <v>664</v>
      </c>
      <c r="O41" s="51">
        <v>652</v>
      </c>
      <c r="P41" s="51">
        <v>38</v>
      </c>
      <c r="Q41" s="51">
        <v>30</v>
      </c>
      <c r="R41" s="2"/>
      <c r="S41" s="51">
        <v>31488</v>
      </c>
      <c r="T41" s="51">
        <v>29213</v>
      </c>
      <c r="U41" s="2"/>
      <c r="V41" s="51">
        <v>31640</v>
      </c>
      <c r="W41" s="51">
        <v>31818</v>
      </c>
      <c r="X41" s="51">
        <v>28094</v>
      </c>
      <c r="Y41" s="51">
        <v>27127</v>
      </c>
      <c r="Z41" s="2"/>
      <c r="AA41" s="51">
        <v>3114</v>
      </c>
      <c r="AB41" s="51">
        <v>1625</v>
      </c>
      <c r="AC41" s="2"/>
      <c r="AD41" s="51">
        <v>3381</v>
      </c>
      <c r="AE41" s="51">
        <v>3018</v>
      </c>
      <c r="AF41" s="51">
        <v>1458</v>
      </c>
      <c r="AG41" s="51">
        <v>1469</v>
      </c>
      <c r="AH41" s="2"/>
      <c r="AI41" s="51">
        <v>6969</v>
      </c>
      <c r="AJ41" s="51">
        <v>4866</v>
      </c>
      <c r="AK41" s="51">
        <v>92</v>
      </c>
      <c r="AL41" s="2"/>
      <c r="AM41" s="51">
        <v>6856</v>
      </c>
      <c r="AN41" s="51">
        <v>6836</v>
      </c>
      <c r="AO41" s="51">
        <v>4926</v>
      </c>
      <c r="AP41" s="51">
        <v>4842</v>
      </c>
      <c r="AQ41" s="2"/>
      <c r="AR41" s="51">
        <v>43435</v>
      </c>
      <c r="AS41" s="51">
        <v>35046</v>
      </c>
      <c r="AT41" s="2"/>
      <c r="AU41" s="51">
        <v>46020</v>
      </c>
      <c r="AV41" s="51">
        <v>32121</v>
      </c>
      <c r="AW41" s="2"/>
      <c r="AX41" s="51">
        <v>10641</v>
      </c>
      <c r="AY41" s="51">
        <v>7582</v>
      </c>
      <c r="AZ41" s="2"/>
      <c r="BA41" s="51">
        <v>9192</v>
      </c>
      <c r="BB41" s="51">
        <v>7055</v>
      </c>
      <c r="BC41" s="2"/>
      <c r="BD41" s="51">
        <v>12156</v>
      </c>
      <c r="BE41" s="51">
        <v>5711</v>
      </c>
      <c r="BF41" s="2"/>
      <c r="BG41" s="51">
        <v>32961</v>
      </c>
      <c r="BH41" s="51">
        <v>33758</v>
      </c>
      <c r="BI41" s="2"/>
      <c r="BJ41" s="51">
        <v>42483</v>
      </c>
      <c r="BK41" s="51">
        <v>21620</v>
      </c>
      <c r="BM41" s="49"/>
      <c r="BN41" s="49"/>
      <c r="BO41" s="49"/>
      <c r="BP41" s="49"/>
      <c r="BQ41" s="49"/>
      <c r="BR41" s="49"/>
    </row>
    <row r="42" spans="1:72" x14ac:dyDescent="0.25">
      <c r="L42" s="1"/>
      <c r="M42" s="1"/>
      <c r="N42" s="1"/>
      <c r="O42" s="1"/>
      <c r="P42" s="1"/>
      <c r="Q42" s="1"/>
      <c r="X42" s="1"/>
      <c r="Y42" s="1"/>
      <c r="AA42" s="1"/>
      <c r="AD42" s="1"/>
      <c r="AE42" s="1"/>
      <c r="AF42" s="1"/>
      <c r="AG42" s="1"/>
      <c r="AI42" s="1"/>
      <c r="AJ42" s="1"/>
      <c r="BM42" s="57"/>
      <c r="BN42" s="49"/>
      <c r="BO42" s="49"/>
      <c r="BP42" s="49"/>
      <c r="BQ42" s="49"/>
      <c r="BR42" s="49"/>
    </row>
    <row r="43" spans="1:72" x14ac:dyDescent="0.25"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6"/>
      <c r="BN43" s="46"/>
      <c r="BO43" s="46"/>
      <c r="BP43" s="46"/>
      <c r="BQ43" s="46"/>
      <c r="BR43" s="46"/>
      <c r="BS43" s="212"/>
      <c r="BT43" s="44"/>
    </row>
    <row r="44" spans="1:72" x14ac:dyDescent="0.25"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6"/>
      <c r="BN44" s="46"/>
      <c r="BO44" s="46"/>
      <c r="BP44" s="46"/>
      <c r="BQ44" s="46"/>
      <c r="BR44" s="46"/>
      <c r="BS44" s="212"/>
      <c r="BT44" s="44"/>
    </row>
    <row r="45" spans="1:72" x14ac:dyDescent="0.25"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6"/>
      <c r="BN45" s="46"/>
      <c r="BO45" s="46"/>
      <c r="BP45" s="46"/>
      <c r="BQ45" s="46"/>
      <c r="BR45" s="46"/>
      <c r="BS45" s="212"/>
      <c r="BT45" s="44"/>
    </row>
    <row r="46" spans="1:72" x14ac:dyDescent="0.25"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6"/>
      <c r="BN46" s="46"/>
      <c r="BO46" s="46"/>
      <c r="BP46" s="46"/>
      <c r="BQ46" s="46"/>
      <c r="BR46" s="46"/>
      <c r="BS46" s="212"/>
      <c r="BT46" s="44"/>
    </row>
    <row r="47" spans="1:72" x14ac:dyDescent="0.25"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6"/>
      <c r="BN47" s="46"/>
      <c r="BO47" s="46"/>
      <c r="BP47" s="46"/>
      <c r="BQ47" s="46"/>
      <c r="BR47" s="46"/>
      <c r="BS47" s="212"/>
      <c r="BT47" s="44"/>
    </row>
    <row r="48" spans="1:72" x14ac:dyDescent="0.25"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6"/>
      <c r="BN48" s="46"/>
      <c r="BO48" s="46"/>
      <c r="BP48" s="46"/>
      <c r="BQ48" s="46"/>
      <c r="BR48" s="46"/>
      <c r="BS48" s="212"/>
      <c r="BT48" s="44"/>
    </row>
    <row r="49" spans="3:72" x14ac:dyDescent="0.25"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6"/>
      <c r="BN49" s="46"/>
      <c r="BO49" s="46"/>
      <c r="BP49" s="46"/>
      <c r="BQ49" s="46"/>
      <c r="BR49" s="46"/>
      <c r="BS49" s="212"/>
      <c r="BT49" s="44"/>
    </row>
    <row r="50" spans="3:72" x14ac:dyDescent="0.25"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6"/>
      <c r="BN50" s="46"/>
      <c r="BO50" s="46"/>
      <c r="BP50" s="46"/>
      <c r="BQ50" s="46"/>
      <c r="BR50" s="46"/>
      <c r="BS50" s="212"/>
      <c r="BT50" s="44"/>
    </row>
    <row r="51" spans="3:72" x14ac:dyDescent="0.25"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6"/>
      <c r="BN51" s="46"/>
      <c r="BO51" s="46"/>
      <c r="BP51" s="46"/>
      <c r="BQ51" s="46"/>
      <c r="BR51" s="46"/>
      <c r="BS51" s="212"/>
      <c r="BT51" s="44"/>
    </row>
    <row r="52" spans="3:72" x14ac:dyDescent="0.25"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6"/>
      <c r="BN52" s="46"/>
      <c r="BO52" s="46"/>
      <c r="BP52" s="46"/>
      <c r="BQ52" s="46"/>
      <c r="BR52" s="46"/>
      <c r="BS52" s="212"/>
      <c r="BT52" s="44"/>
    </row>
    <row r="53" spans="3:72" x14ac:dyDescent="0.25"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6"/>
      <c r="BN53" s="46"/>
      <c r="BO53" s="46"/>
      <c r="BP53" s="46"/>
      <c r="BQ53" s="46"/>
      <c r="BR53" s="46"/>
      <c r="BS53" s="212"/>
      <c r="BT53" s="44"/>
    </row>
    <row r="54" spans="3:72" x14ac:dyDescent="0.25"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6"/>
      <c r="BN54" s="46"/>
      <c r="BO54" s="46"/>
      <c r="BP54" s="46"/>
      <c r="BQ54" s="46"/>
      <c r="BR54" s="46"/>
      <c r="BS54" s="212"/>
      <c r="BT54" s="44"/>
    </row>
    <row r="55" spans="3:72" x14ac:dyDescent="0.25"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6"/>
      <c r="BN55" s="46"/>
      <c r="BO55" s="46"/>
      <c r="BP55" s="46"/>
      <c r="BQ55" s="46"/>
      <c r="BR55" s="46"/>
      <c r="BS55" s="212"/>
      <c r="BT55" s="44"/>
    </row>
    <row r="56" spans="3:72" x14ac:dyDescent="0.25"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6"/>
      <c r="BN56" s="46"/>
      <c r="BO56" s="46"/>
      <c r="BP56" s="46"/>
      <c r="BQ56" s="46"/>
      <c r="BR56" s="46"/>
      <c r="BS56" s="212"/>
      <c r="BT56" s="44"/>
    </row>
    <row r="57" spans="3:72" x14ac:dyDescent="0.25"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6"/>
      <c r="BN57" s="46"/>
      <c r="BO57" s="46"/>
      <c r="BP57" s="46"/>
      <c r="BQ57" s="46"/>
      <c r="BR57" s="46"/>
      <c r="BS57" s="212"/>
      <c r="BT57" s="44"/>
    </row>
    <row r="58" spans="3:72" x14ac:dyDescent="0.25"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6"/>
      <c r="BN58" s="46"/>
      <c r="BO58" s="46"/>
      <c r="BP58" s="46"/>
      <c r="BQ58" s="46"/>
      <c r="BR58" s="46"/>
      <c r="BS58" s="212"/>
      <c r="BT58" s="44"/>
    </row>
    <row r="59" spans="3:72" x14ac:dyDescent="0.25"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6"/>
      <c r="BN59" s="46"/>
      <c r="BO59" s="46"/>
      <c r="BP59" s="46"/>
      <c r="BQ59" s="46"/>
      <c r="BR59" s="46"/>
      <c r="BS59" s="212"/>
      <c r="BT59" s="44"/>
    </row>
    <row r="60" spans="3:72" x14ac:dyDescent="0.25"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6"/>
      <c r="BN60" s="46"/>
      <c r="BO60" s="46"/>
      <c r="BP60" s="46"/>
      <c r="BQ60" s="46"/>
      <c r="BR60" s="46"/>
      <c r="BS60" s="212"/>
      <c r="BT60" s="44"/>
    </row>
    <row r="61" spans="3:72" x14ac:dyDescent="0.25"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6"/>
      <c r="BN61" s="46"/>
      <c r="BO61" s="46"/>
      <c r="BP61" s="46"/>
      <c r="BQ61" s="46"/>
      <c r="BR61" s="46"/>
      <c r="BS61" s="212"/>
      <c r="BT61" s="44"/>
    </row>
    <row r="62" spans="3:72" x14ac:dyDescent="0.25"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6"/>
      <c r="BN62" s="46"/>
      <c r="BO62" s="46"/>
      <c r="BP62" s="46"/>
      <c r="BQ62" s="46"/>
      <c r="BR62" s="46"/>
      <c r="BS62" s="212"/>
      <c r="BT62" s="44"/>
    </row>
    <row r="63" spans="3:72" x14ac:dyDescent="0.25"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6"/>
      <c r="BN63" s="46"/>
      <c r="BO63" s="46"/>
      <c r="BP63" s="46"/>
      <c r="BQ63" s="46"/>
      <c r="BR63" s="46"/>
      <c r="BS63" s="212"/>
      <c r="BT63" s="44"/>
    </row>
    <row r="64" spans="3:72" x14ac:dyDescent="0.25"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6"/>
      <c r="BN64" s="46"/>
      <c r="BO64" s="46"/>
      <c r="BP64" s="46"/>
      <c r="BQ64" s="46"/>
      <c r="BR64" s="46"/>
      <c r="BS64" s="212"/>
      <c r="BT64" s="44"/>
    </row>
    <row r="65" spans="3:72" x14ac:dyDescent="0.25"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6"/>
      <c r="BN65" s="46"/>
      <c r="BO65" s="46"/>
      <c r="BP65" s="46"/>
      <c r="BQ65" s="46"/>
      <c r="BR65" s="46"/>
      <c r="BS65" s="212"/>
      <c r="BT65" s="44"/>
    </row>
    <row r="66" spans="3:72" x14ac:dyDescent="0.25"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6"/>
      <c r="BN66" s="46"/>
      <c r="BO66" s="46"/>
      <c r="BP66" s="46"/>
      <c r="BQ66" s="46"/>
      <c r="BR66" s="46"/>
      <c r="BS66" s="212"/>
      <c r="BT66" s="44"/>
    </row>
    <row r="67" spans="3:72" x14ac:dyDescent="0.25"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6"/>
      <c r="BN67" s="46"/>
      <c r="BO67" s="46"/>
      <c r="BP67" s="46"/>
      <c r="BQ67" s="46"/>
      <c r="BR67" s="46"/>
      <c r="BS67" s="212"/>
      <c r="BT67" s="44"/>
    </row>
    <row r="68" spans="3:72" x14ac:dyDescent="0.25"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6"/>
      <c r="BN68" s="46"/>
      <c r="BO68" s="46"/>
      <c r="BP68" s="46"/>
      <c r="BQ68" s="46"/>
      <c r="BR68" s="46"/>
      <c r="BS68" s="212"/>
      <c r="BT68" s="44"/>
    </row>
    <row r="69" spans="3:72" x14ac:dyDescent="0.25"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6"/>
      <c r="BN69" s="46"/>
      <c r="BO69" s="46"/>
      <c r="BP69" s="46"/>
      <c r="BQ69" s="46"/>
      <c r="BR69" s="46"/>
      <c r="BS69" s="212"/>
      <c r="BT69" s="44"/>
    </row>
    <row r="70" spans="3:72" x14ac:dyDescent="0.25"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6"/>
      <c r="BN70" s="46"/>
      <c r="BO70" s="46"/>
      <c r="BP70" s="46"/>
      <c r="BQ70" s="46"/>
      <c r="BR70" s="46"/>
      <c r="BS70" s="212"/>
      <c r="BT70" s="44"/>
    </row>
    <row r="71" spans="3:72" x14ac:dyDescent="0.25"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6"/>
      <c r="BN71" s="46"/>
      <c r="BO71" s="46"/>
      <c r="BP71" s="46"/>
      <c r="BQ71" s="46"/>
      <c r="BR71" s="46"/>
      <c r="BS71" s="212"/>
      <c r="BT71" s="44"/>
    </row>
    <row r="72" spans="3:72" x14ac:dyDescent="0.25"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6"/>
      <c r="BN72" s="46"/>
      <c r="BO72" s="46"/>
      <c r="BP72" s="46"/>
      <c r="BQ72" s="46"/>
      <c r="BR72" s="46"/>
      <c r="BS72" s="212"/>
      <c r="BT72" s="44"/>
    </row>
    <row r="73" spans="3:72" x14ac:dyDescent="0.25"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6"/>
      <c r="BN73" s="46"/>
      <c r="BO73" s="46"/>
      <c r="BP73" s="46"/>
      <c r="BQ73" s="46"/>
      <c r="BR73" s="46"/>
      <c r="BS73" s="212"/>
      <c r="BT73" s="44"/>
    </row>
    <row r="74" spans="3:72" x14ac:dyDescent="0.25"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6"/>
      <c r="BN74" s="46"/>
      <c r="BO74" s="46"/>
      <c r="BP74" s="46"/>
      <c r="BQ74" s="46"/>
      <c r="BR74" s="46"/>
      <c r="BS74" s="212"/>
      <c r="BT74" s="44"/>
    </row>
    <row r="75" spans="3:72" x14ac:dyDescent="0.25"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6"/>
      <c r="BN75" s="46"/>
      <c r="BO75" s="46"/>
      <c r="BP75" s="46"/>
      <c r="BQ75" s="46"/>
      <c r="BR75" s="46"/>
      <c r="BS75" s="212"/>
      <c r="BT75" s="44"/>
    </row>
    <row r="76" spans="3:72" x14ac:dyDescent="0.25"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6"/>
      <c r="BN76" s="46"/>
      <c r="BO76" s="46"/>
      <c r="BP76" s="46"/>
      <c r="BQ76" s="46"/>
      <c r="BR76" s="46"/>
      <c r="BS76" s="212"/>
      <c r="BT76" s="44"/>
    </row>
    <row r="77" spans="3:72" x14ac:dyDescent="0.25"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6"/>
      <c r="BN77" s="46"/>
      <c r="BO77" s="46"/>
      <c r="BP77" s="46"/>
      <c r="BQ77" s="46"/>
      <c r="BR77" s="46"/>
      <c r="BS77" s="212"/>
      <c r="BT77" s="44"/>
    </row>
    <row r="78" spans="3:72" x14ac:dyDescent="0.25"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6"/>
      <c r="BN78" s="46"/>
      <c r="BO78" s="46"/>
      <c r="BP78" s="46"/>
      <c r="BQ78" s="46"/>
      <c r="BR78" s="46"/>
      <c r="BS78" s="212"/>
      <c r="BT78" s="44"/>
    </row>
    <row r="79" spans="3:72" x14ac:dyDescent="0.25"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6"/>
      <c r="BN79" s="46"/>
      <c r="BO79" s="46"/>
      <c r="BP79" s="46"/>
      <c r="BQ79" s="46"/>
      <c r="BR79" s="46"/>
      <c r="BS79" s="212"/>
      <c r="BT79" s="44"/>
    </row>
    <row r="80" spans="3:72" x14ac:dyDescent="0.25"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6"/>
      <c r="BN80" s="46"/>
      <c r="BO80" s="46"/>
      <c r="BP80" s="46"/>
      <c r="BQ80" s="46"/>
      <c r="BR80" s="46"/>
      <c r="BS80" s="212"/>
      <c r="BT80" s="44"/>
    </row>
    <row r="81" spans="3:72" x14ac:dyDescent="0.25"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6"/>
      <c r="BN81" s="46"/>
      <c r="BO81" s="46"/>
      <c r="BP81" s="46"/>
      <c r="BQ81" s="46"/>
      <c r="BR81" s="46"/>
      <c r="BS81" s="212"/>
      <c r="BT81" s="44"/>
    </row>
    <row r="82" spans="3:72" x14ac:dyDescent="0.25"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6"/>
      <c r="BN82" s="46"/>
      <c r="BO82" s="46"/>
      <c r="BP82" s="46"/>
      <c r="BQ82" s="46"/>
      <c r="BR82" s="46"/>
      <c r="BS82" s="212"/>
      <c r="BT82" s="44"/>
    </row>
    <row r="83" spans="3:72" x14ac:dyDescent="0.25"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6"/>
      <c r="BN83" s="46"/>
      <c r="BO83" s="46"/>
      <c r="BP83" s="46"/>
      <c r="BQ83" s="46"/>
      <c r="BR83" s="46"/>
      <c r="BS83" s="212"/>
      <c r="BT83" s="44"/>
    </row>
    <row r="84" spans="3:72" x14ac:dyDescent="0.25"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6"/>
      <c r="BN84" s="46"/>
      <c r="BO84" s="46"/>
      <c r="BP84" s="46"/>
      <c r="BQ84" s="46"/>
      <c r="BR84" s="46"/>
      <c r="BS84" s="212"/>
      <c r="BT84" s="44"/>
    </row>
    <row r="85" spans="3:72" x14ac:dyDescent="0.25"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6"/>
      <c r="BN85" s="46"/>
      <c r="BO85" s="46"/>
      <c r="BP85" s="46"/>
      <c r="BQ85" s="46"/>
      <c r="BR85" s="46"/>
      <c r="BS85" s="212"/>
      <c r="BT85" s="44"/>
    </row>
    <row r="86" spans="3:72" x14ac:dyDescent="0.25"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6"/>
      <c r="BN86" s="46"/>
      <c r="BO86" s="46"/>
      <c r="BP86" s="46"/>
      <c r="BQ86" s="46"/>
      <c r="BR86" s="46"/>
      <c r="BS86" s="212"/>
      <c r="BT86" s="44"/>
    </row>
    <row r="87" spans="3:72" x14ac:dyDescent="0.25"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6"/>
      <c r="BN87" s="46"/>
      <c r="BO87" s="46"/>
      <c r="BP87" s="46"/>
      <c r="BQ87" s="46"/>
      <c r="BR87" s="46"/>
      <c r="BS87" s="212"/>
      <c r="BT87" s="44"/>
    </row>
    <row r="88" spans="3:72" x14ac:dyDescent="0.25"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6"/>
      <c r="BN88" s="46"/>
      <c r="BO88" s="46"/>
      <c r="BP88" s="46"/>
      <c r="BQ88" s="46"/>
      <c r="BR88" s="46"/>
      <c r="BS88" s="212"/>
      <c r="BT88" s="44"/>
    </row>
    <row r="89" spans="3:72" x14ac:dyDescent="0.25"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6"/>
      <c r="BN89" s="46"/>
      <c r="BO89" s="46"/>
      <c r="BP89" s="46"/>
      <c r="BQ89" s="46"/>
      <c r="BR89" s="46"/>
      <c r="BS89" s="212"/>
      <c r="BT89" s="44"/>
    </row>
    <row r="90" spans="3:72" x14ac:dyDescent="0.25"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6"/>
      <c r="BN90" s="46"/>
      <c r="BO90" s="46"/>
      <c r="BP90" s="46"/>
      <c r="BQ90" s="46"/>
      <c r="BR90" s="46"/>
      <c r="BS90" s="212"/>
      <c r="BT90" s="44"/>
    </row>
    <row r="91" spans="3:72" x14ac:dyDescent="0.25"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6"/>
      <c r="BN91" s="46"/>
      <c r="BO91" s="46"/>
      <c r="BP91" s="46"/>
      <c r="BQ91" s="46"/>
      <c r="BR91" s="46"/>
      <c r="BS91" s="212"/>
      <c r="BT91" s="44"/>
    </row>
    <row r="92" spans="3:72" x14ac:dyDescent="0.25"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6"/>
      <c r="BN92" s="46"/>
      <c r="BO92" s="46"/>
      <c r="BP92" s="46"/>
      <c r="BQ92" s="46"/>
      <c r="BR92" s="46"/>
      <c r="BS92" s="212"/>
      <c r="BT92" s="44"/>
    </row>
    <row r="93" spans="3:72" x14ac:dyDescent="0.25"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6"/>
      <c r="BN93" s="46"/>
      <c r="BO93" s="46"/>
      <c r="BP93" s="46"/>
      <c r="BQ93" s="46"/>
      <c r="BR93" s="46"/>
      <c r="BS93" s="212"/>
      <c r="BT93" s="44"/>
    </row>
    <row r="94" spans="3:72" x14ac:dyDescent="0.25"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6"/>
      <c r="BN94" s="46"/>
      <c r="BO94" s="46"/>
      <c r="BP94" s="46"/>
      <c r="BQ94" s="46"/>
      <c r="BR94" s="46"/>
      <c r="BS94" s="212"/>
      <c r="BT94" s="44"/>
    </row>
    <row r="95" spans="3:72" x14ac:dyDescent="0.25"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6"/>
      <c r="BN95" s="46"/>
      <c r="BO95" s="46"/>
      <c r="BP95" s="46"/>
      <c r="BQ95" s="46"/>
      <c r="BR95" s="46"/>
      <c r="BS95" s="212"/>
      <c r="BT95" s="44"/>
    </row>
    <row r="96" spans="3:72" x14ac:dyDescent="0.25"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6"/>
      <c r="BN96" s="46"/>
      <c r="BO96" s="46"/>
      <c r="BP96" s="46"/>
      <c r="BQ96" s="46"/>
      <c r="BR96" s="46"/>
      <c r="BS96" s="212"/>
      <c r="BT96" s="44"/>
    </row>
    <row r="97" spans="3:72" x14ac:dyDescent="0.25"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6"/>
      <c r="BN97" s="46"/>
      <c r="BO97" s="46"/>
      <c r="BP97" s="46"/>
      <c r="BQ97" s="46"/>
      <c r="BR97" s="46"/>
      <c r="BS97" s="212"/>
      <c r="BT97" s="44"/>
    </row>
    <row r="98" spans="3:72" x14ac:dyDescent="0.25"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6"/>
      <c r="BN98" s="46"/>
      <c r="BO98" s="46"/>
      <c r="BP98" s="46"/>
      <c r="BQ98" s="46"/>
      <c r="BR98" s="46"/>
      <c r="BS98" s="212"/>
      <c r="BT98" s="44"/>
    </row>
    <row r="99" spans="3:72" x14ac:dyDescent="0.25"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6"/>
      <c r="BN99" s="46"/>
      <c r="BO99" s="46"/>
      <c r="BP99" s="46"/>
      <c r="BQ99" s="46"/>
      <c r="BR99" s="46"/>
      <c r="BS99" s="212"/>
      <c r="BT99" s="44"/>
    </row>
    <row r="100" spans="3:72" x14ac:dyDescent="0.25"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6"/>
      <c r="BN100" s="46"/>
      <c r="BO100" s="46"/>
      <c r="BP100" s="46"/>
      <c r="BQ100" s="46"/>
      <c r="BR100" s="46"/>
      <c r="BS100" s="212"/>
      <c r="BT100" s="44"/>
    </row>
    <row r="101" spans="3:72" x14ac:dyDescent="0.25"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6"/>
      <c r="BN101" s="46"/>
      <c r="BO101" s="46"/>
      <c r="BP101" s="46"/>
      <c r="BQ101" s="46"/>
      <c r="BR101" s="46"/>
      <c r="BS101" s="212"/>
      <c r="BT101" s="44"/>
    </row>
    <row r="102" spans="3:72" x14ac:dyDescent="0.25"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6"/>
      <c r="BN102" s="46"/>
      <c r="BO102" s="46"/>
      <c r="BP102" s="46"/>
      <c r="BQ102" s="46"/>
      <c r="BR102" s="46"/>
      <c r="BS102" s="212"/>
      <c r="BT102" s="44"/>
    </row>
    <row r="103" spans="3:72" x14ac:dyDescent="0.25"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6"/>
      <c r="BN103" s="46"/>
      <c r="BO103" s="46"/>
      <c r="BP103" s="46"/>
      <c r="BQ103" s="46"/>
      <c r="BR103" s="46"/>
      <c r="BS103" s="212"/>
      <c r="BT103" s="44"/>
    </row>
    <row r="104" spans="3:72" x14ac:dyDescent="0.25"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6"/>
      <c r="BN104" s="46"/>
      <c r="BO104" s="46"/>
      <c r="BP104" s="46"/>
      <c r="BQ104" s="46"/>
      <c r="BR104" s="46"/>
      <c r="BS104" s="212"/>
      <c r="BT104" s="44"/>
    </row>
    <row r="105" spans="3:72" x14ac:dyDescent="0.25"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6"/>
      <c r="BN105" s="46"/>
      <c r="BO105" s="46"/>
      <c r="BP105" s="46"/>
      <c r="BQ105" s="46"/>
      <c r="BR105" s="46"/>
      <c r="BS105" s="212"/>
      <c r="BT105" s="44"/>
    </row>
    <row r="106" spans="3:72" x14ac:dyDescent="0.25"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6"/>
      <c r="BN106" s="46"/>
      <c r="BO106" s="46"/>
      <c r="BP106" s="46"/>
      <c r="BQ106" s="46"/>
      <c r="BR106" s="46"/>
      <c r="BS106" s="212"/>
      <c r="BT106" s="44"/>
    </row>
    <row r="107" spans="3:72" x14ac:dyDescent="0.25"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6"/>
      <c r="BN107" s="46"/>
      <c r="BO107" s="46"/>
      <c r="BP107" s="46"/>
      <c r="BQ107" s="46"/>
      <c r="BR107" s="46"/>
      <c r="BS107" s="212"/>
      <c r="BT107" s="44"/>
    </row>
    <row r="108" spans="3:72" x14ac:dyDescent="0.25"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6"/>
      <c r="BN108" s="46"/>
      <c r="BO108" s="46"/>
      <c r="BP108" s="46"/>
      <c r="BQ108" s="46"/>
      <c r="BR108" s="46"/>
      <c r="BS108" s="212"/>
      <c r="BT108" s="44"/>
    </row>
    <row r="109" spans="3:72" x14ac:dyDescent="0.25"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6"/>
      <c r="BN109" s="46"/>
      <c r="BO109" s="46"/>
      <c r="BP109" s="46"/>
      <c r="BQ109" s="46"/>
      <c r="BR109" s="46"/>
      <c r="BS109" s="212"/>
      <c r="BT109" s="44"/>
    </row>
    <row r="110" spans="3:72" x14ac:dyDescent="0.25"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6"/>
      <c r="BN110" s="46"/>
      <c r="BO110" s="46"/>
      <c r="BP110" s="46"/>
      <c r="BQ110" s="46"/>
      <c r="BR110" s="46"/>
      <c r="BS110" s="212"/>
      <c r="BT110" s="44"/>
    </row>
    <row r="111" spans="3:72" x14ac:dyDescent="0.25"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6"/>
      <c r="BN111" s="46"/>
      <c r="BO111" s="46"/>
      <c r="BP111" s="46"/>
      <c r="BQ111" s="46"/>
      <c r="BR111" s="46"/>
      <c r="BS111" s="212"/>
      <c r="BT111" s="44"/>
    </row>
    <row r="112" spans="3:72" x14ac:dyDescent="0.25"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6"/>
      <c r="BN112" s="46"/>
      <c r="BO112" s="46"/>
      <c r="BP112" s="46"/>
      <c r="BQ112" s="46"/>
      <c r="BR112" s="46"/>
      <c r="BS112" s="212"/>
      <c r="BT112" s="44"/>
    </row>
    <row r="113" spans="3:72" x14ac:dyDescent="0.25"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6"/>
      <c r="BN113" s="46"/>
      <c r="BO113" s="46"/>
      <c r="BP113" s="46"/>
      <c r="BQ113" s="46"/>
      <c r="BR113" s="46"/>
      <c r="BS113" s="212"/>
      <c r="BT113" s="44"/>
    </row>
    <row r="114" spans="3:72" x14ac:dyDescent="0.25"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6"/>
      <c r="BN114" s="46"/>
      <c r="BO114" s="46"/>
      <c r="BP114" s="46"/>
      <c r="BQ114" s="46"/>
      <c r="BR114" s="46"/>
      <c r="BS114" s="212"/>
      <c r="BT114" s="44"/>
    </row>
    <row r="115" spans="3:72" x14ac:dyDescent="0.25"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6"/>
      <c r="BN115" s="46"/>
      <c r="BO115" s="46"/>
      <c r="BP115" s="46"/>
      <c r="BQ115" s="46"/>
      <c r="BR115" s="46"/>
      <c r="BS115" s="212"/>
      <c r="BT115" s="44"/>
    </row>
    <row r="116" spans="3:72" x14ac:dyDescent="0.25"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6"/>
      <c r="BN116" s="46"/>
      <c r="BO116" s="46"/>
      <c r="BP116" s="46"/>
      <c r="BQ116" s="46"/>
      <c r="BR116" s="46"/>
      <c r="BS116" s="212"/>
      <c r="BT116" s="44"/>
    </row>
    <row r="117" spans="3:72" x14ac:dyDescent="0.25"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6"/>
      <c r="BN117" s="46"/>
      <c r="BO117" s="46"/>
      <c r="BP117" s="46"/>
      <c r="BQ117" s="46"/>
      <c r="BR117" s="46"/>
      <c r="BS117" s="212"/>
      <c r="BT117" s="44"/>
    </row>
    <row r="118" spans="3:72" x14ac:dyDescent="0.25"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6"/>
      <c r="BN118" s="46"/>
      <c r="BO118" s="46"/>
      <c r="BP118" s="46"/>
      <c r="BQ118" s="46"/>
      <c r="BR118" s="46"/>
      <c r="BS118" s="212"/>
      <c r="BT118" s="44"/>
    </row>
    <row r="119" spans="3:72" x14ac:dyDescent="0.25"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6"/>
      <c r="BN119" s="46"/>
      <c r="BO119" s="46"/>
      <c r="BP119" s="46"/>
      <c r="BQ119" s="46"/>
      <c r="BR119" s="46"/>
      <c r="BS119" s="212"/>
      <c r="BT119" s="44"/>
    </row>
    <row r="120" spans="3:72" x14ac:dyDescent="0.25"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6"/>
      <c r="BN120" s="46"/>
      <c r="BO120" s="46"/>
      <c r="BP120" s="46"/>
      <c r="BQ120" s="46"/>
      <c r="BR120" s="46"/>
      <c r="BS120" s="212"/>
      <c r="BT120" s="44"/>
    </row>
    <row r="121" spans="3:72" x14ac:dyDescent="0.25"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6"/>
      <c r="BN121" s="46"/>
      <c r="BO121" s="46"/>
      <c r="BP121" s="46"/>
      <c r="BQ121" s="46"/>
      <c r="BR121" s="46"/>
      <c r="BS121" s="212"/>
      <c r="BT121" s="44"/>
    </row>
    <row r="122" spans="3:72" x14ac:dyDescent="0.25"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6"/>
      <c r="BN122" s="46"/>
      <c r="BO122" s="46"/>
      <c r="BP122" s="46"/>
      <c r="BQ122" s="46"/>
      <c r="BR122" s="46"/>
      <c r="BS122" s="212"/>
      <c r="BT122" s="44"/>
    </row>
    <row r="123" spans="3:72" x14ac:dyDescent="0.25"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6"/>
      <c r="BN123" s="46"/>
      <c r="BO123" s="46"/>
      <c r="BP123" s="46"/>
      <c r="BQ123" s="46"/>
      <c r="BR123" s="46"/>
      <c r="BS123" s="212"/>
      <c r="BT123" s="44"/>
    </row>
    <row r="124" spans="3:72" x14ac:dyDescent="0.25"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6"/>
      <c r="BN124" s="46"/>
      <c r="BO124" s="46"/>
      <c r="BP124" s="46"/>
      <c r="BQ124" s="46"/>
      <c r="BR124" s="46"/>
      <c r="BS124" s="212"/>
      <c r="BT124" s="44"/>
    </row>
    <row r="125" spans="3:72" x14ac:dyDescent="0.25"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6"/>
      <c r="BN125" s="46"/>
      <c r="BO125" s="46"/>
      <c r="BP125" s="46"/>
      <c r="BQ125" s="46"/>
      <c r="BR125" s="46"/>
      <c r="BS125" s="212"/>
      <c r="BT125" s="44"/>
    </row>
    <row r="126" spans="3:72" x14ac:dyDescent="0.25"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6"/>
      <c r="BN126" s="46"/>
      <c r="BO126" s="46"/>
      <c r="BP126" s="46"/>
      <c r="BQ126" s="46"/>
      <c r="BR126" s="46"/>
      <c r="BS126" s="212"/>
      <c r="BT126" s="44"/>
    </row>
    <row r="127" spans="3:72" x14ac:dyDescent="0.25"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6"/>
      <c r="BN127" s="46"/>
      <c r="BO127" s="46"/>
      <c r="BP127" s="46"/>
      <c r="BQ127" s="46"/>
      <c r="BR127" s="46"/>
      <c r="BS127" s="212"/>
      <c r="BT127" s="44"/>
    </row>
    <row r="128" spans="3:72" x14ac:dyDescent="0.25"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6"/>
      <c r="BN128" s="46"/>
      <c r="BO128" s="46"/>
      <c r="BP128" s="46"/>
      <c r="BQ128" s="46"/>
      <c r="BR128" s="46"/>
      <c r="BS128" s="212"/>
      <c r="BT128" s="44"/>
    </row>
    <row r="129" spans="3:72" x14ac:dyDescent="0.25"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6"/>
      <c r="BN129" s="46"/>
      <c r="BO129" s="46"/>
      <c r="BP129" s="46"/>
      <c r="BQ129" s="46"/>
      <c r="BR129" s="46"/>
      <c r="BS129" s="212"/>
      <c r="BT129" s="44"/>
    </row>
    <row r="130" spans="3:72" x14ac:dyDescent="0.25"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6"/>
      <c r="BN130" s="46"/>
      <c r="BO130" s="46"/>
      <c r="BP130" s="46"/>
      <c r="BQ130" s="46"/>
      <c r="BR130" s="46"/>
      <c r="BS130" s="212"/>
      <c r="BT130" s="44"/>
    </row>
    <row r="131" spans="3:72" x14ac:dyDescent="0.25"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6"/>
      <c r="BN131" s="46"/>
      <c r="BO131" s="46"/>
      <c r="BP131" s="46"/>
      <c r="BQ131" s="46"/>
      <c r="BR131" s="46"/>
      <c r="BS131" s="212"/>
      <c r="BT131" s="44"/>
    </row>
    <row r="132" spans="3:72" x14ac:dyDescent="0.25"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6"/>
      <c r="BN132" s="46"/>
      <c r="BO132" s="46"/>
      <c r="BP132" s="46"/>
      <c r="BQ132" s="46"/>
      <c r="BR132" s="46"/>
      <c r="BS132" s="212"/>
      <c r="BT132" s="44"/>
    </row>
    <row r="133" spans="3:72" x14ac:dyDescent="0.25"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6"/>
      <c r="BN133" s="46"/>
      <c r="BO133" s="46"/>
      <c r="BP133" s="46"/>
      <c r="BQ133" s="46"/>
      <c r="BR133" s="46"/>
      <c r="BS133" s="212"/>
      <c r="BT133" s="44"/>
    </row>
    <row r="134" spans="3:72" x14ac:dyDescent="0.25"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6"/>
      <c r="BN134" s="46"/>
      <c r="BO134" s="46"/>
      <c r="BP134" s="46"/>
      <c r="BQ134" s="46"/>
      <c r="BR134" s="46"/>
      <c r="BS134" s="212"/>
      <c r="BT134" s="44"/>
    </row>
    <row r="135" spans="3:72" x14ac:dyDescent="0.25"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6"/>
      <c r="BN135" s="46"/>
      <c r="BO135" s="46"/>
      <c r="BP135" s="46"/>
      <c r="BQ135" s="46"/>
      <c r="BR135" s="46"/>
      <c r="BS135" s="212"/>
      <c r="BT135" s="44"/>
    </row>
    <row r="136" spans="3:72" x14ac:dyDescent="0.25">
      <c r="BM136" s="49"/>
      <c r="BN136" s="49"/>
      <c r="BO136" s="49"/>
      <c r="BP136" s="49"/>
      <c r="BQ136" s="49"/>
      <c r="BR136" s="49"/>
    </row>
    <row r="137" spans="3:72" x14ac:dyDescent="0.25">
      <c r="BM137" s="49"/>
      <c r="BN137" s="49"/>
      <c r="BO137" s="49"/>
      <c r="BP137" s="49"/>
      <c r="BQ137" s="49"/>
      <c r="BR137" s="49"/>
    </row>
    <row r="138" spans="3:72" x14ac:dyDescent="0.25">
      <c r="BM138" s="49"/>
      <c r="BN138" s="49"/>
      <c r="BO138" s="49"/>
      <c r="BP138" s="49"/>
      <c r="BQ138" s="49"/>
      <c r="BR138" s="49"/>
    </row>
    <row r="139" spans="3:72" x14ac:dyDescent="0.25">
      <c r="BM139" s="49"/>
      <c r="BN139" s="49"/>
      <c r="BO139" s="49"/>
      <c r="BP139" s="49"/>
      <c r="BQ139" s="49"/>
      <c r="BR139" s="49"/>
    </row>
    <row r="140" spans="3:72" x14ac:dyDescent="0.25">
      <c r="BM140" s="49"/>
      <c r="BN140" s="49"/>
      <c r="BO140" s="49"/>
      <c r="BP140" s="49"/>
      <c r="BQ140" s="49"/>
      <c r="BR140" s="49"/>
    </row>
    <row r="141" spans="3:72" x14ac:dyDescent="0.25">
      <c r="BM141" s="49"/>
      <c r="BN141" s="49"/>
      <c r="BO141" s="49"/>
      <c r="BP141" s="49"/>
      <c r="BQ141" s="49"/>
      <c r="BR141" s="49"/>
    </row>
    <row r="142" spans="3:72" x14ac:dyDescent="0.25">
      <c r="BM142" s="49"/>
      <c r="BN142" s="49"/>
      <c r="BO142" s="49"/>
      <c r="BP142" s="49"/>
      <c r="BQ142" s="49"/>
      <c r="BR142" s="49"/>
    </row>
    <row r="143" spans="3:72" x14ac:dyDescent="0.25">
      <c r="BM143" s="49"/>
      <c r="BN143" s="49"/>
      <c r="BO143" s="49"/>
      <c r="BP143" s="49"/>
      <c r="BQ143" s="49"/>
      <c r="BR143" s="49"/>
    </row>
    <row r="144" spans="3:72" x14ac:dyDescent="0.25">
      <c r="BM144" s="49"/>
      <c r="BN144" s="49"/>
      <c r="BO144" s="49"/>
      <c r="BP144" s="49"/>
      <c r="BQ144" s="49"/>
      <c r="BR144" s="49"/>
    </row>
    <row r="145" spans="65:70" x14ac:dyDescent="0.25">
      <c r="BM145" s="49"/>
      <c r="BN145" s="49"/>
      <c r="BO145" s="49"/>
      <c r="BP145" s="49"/>
      <c r="BQ145" s="49"/>
      <c r="BR145" s="49"/>
    </row>
    <row r="146" spans="65:70" x14ac:dyDescent="0.25">
      <c r="BM146" s="49"/>
      <c r="BN146" s="49"/>
      <c r="BO146" s="49"/>
      <c r="BP146" s="49"/>
      <c r="BQ146" s="49"/>
      <c r="BR146" s="49"/>
    </row>
    <row r="147" spans="65:70" x14ac:dyDescent="0.25">
      <c r="BM147" s="49"/>
      <c r="BN147" s="49"/>
      <c r="BO147" s="49"/>
      <c r="BP147" s="49"/>
      <c r="BQ147" s="49"/>
      <c r="BR147" s="49"/>
    </row>
    <row r="148" spans="65:70" x14ac:dyDescent="0.25">
      <c r="BM148" s="49"/>
      <c r="BN148" s="49"/>
      <c r="BO148" s="49"/>
      <c r="BP148" s="49"/>
      <c r="BQ148" s="49"/>
      <c r="BR148" s="49"/>
    </row>
    <row r="149" spans="65:70" x14ac:dyDescent="0.25">
      <c r="BM149" s="49"/>
      <c r="BN149" s="49"/>
      <c r="BO149" s="49"/>
      <c r="BP149" s="49"/>
      <c r="BQ149" s="49"/>
      <c r="BR149" s="49"/>
    </row>
    <row r="150" spans="65:70" x14ac:dyDescent="0.25">
      <c r="BM150" s="49"/>
      <c r="BN150" s="49"/>
      <c r="BO150" s="49"/>
      <c r="BP150" s="49"/>
      <c r="BQ150" s="49"/>
      <c r="BR150" s="49"/>
    </row>
    <row r="151" spans="65:70" x14ac:dyDescent="0.25">
      <c r="BM151" s="49"/>
      <c r="BN151" s="49"/>
      <c r="BO151" s="49"/>
      <c r="BP151" s="49"/>
      <c r="BQ151" s="49"/>
      <c r="BR151" s="49"/>
    </row>
    <row r="152" spans="65:70" x14ac:dyDescent="0.25">
      <c r="BM152" s="49"/>
      <c r="BN152" s="49"/>
      <c r="BO152" s="49"/>
      <c r="BP152" s="49"/>
      <c r="BQ152" s="49"/>
      <c r="BR152" s="49"/>
    </row>
    <row r="153" spans="65:70" x14ac:dyDescent="0.25">
      <c r="BM153" s="49"/>
      <c r="BN153" s="49"/>
      <c r="BO153" s="49"/>
      <c r="BP153" s="49"/>
      <c r="BQ153" s="49"/>
      <c r="BR153" s="49"/>
    </row>
    <row r="154" spans="65:70" x14ac:dyDescent="0.25">
      <c r="BM154" s="49"/>
      <c r="BN154" s="49"/>
      <c r="BO154" s="49"/>
      <c r="BP154" s="49"/>
      <c r="BQ154" s="49"/>
      <c r="BR154" s="49"/>
    </row>
    <row r="155" spans="65:70" x14ac:dyDescent="0.25">
      <c r="BM155" s="49"/>
      <c r="BN155" s="49"/>
      <c r="BO155" s="49"/>
      <c r="BP155" s="49"/>
      <c r="BQ155" s="49"/>
      <c r="BR155" s="49"/>
    </row>
    <row r="156" spans="65:70" x14ac:dyDescent="0.25">
      <c r="BM156" s="49"/>
      <c r="BN156" s="49"/>
      <c r="BO156" s="49"/>
      <c r="BP156" s="49"/>
      <c r="BQ156" s="49"/>
      <c r="BR156" s="49"/>
    </row>
    <row r="157" spans="65:70" x14ac:dyDescent="0.25">
      <c r="BM157" s="49"/>
      <c r="BN157" s="49"/>
      <c r="BO157" s="49"/>
      <c r="BP157" s="49"/>
      <c r="BQ157" s="49"/>
      <c r="BR157" s="49"/>
    </row>
    <row r="158" spans="65:70" x14ac:dyDescent="0.25">
      <c r="BM158" s="49"/>
      <c r="BN158" s="49"/>
      <c r="BO158" s="49"/>
      <c r="BP158" s="49"/>
      <c r="BQ158" s="49"/>
      <c r="BR158" s="49"/>
    </row>
    <row r="159" spans="65:70" x14ac:dyDescent="0.25">
      <c r="BM159" s="49"/>
      <c r="BN159" s="49"/>
      <c r="BO159" s="49"/>
      <c r="BP159" s="49"/>
      <c r="BQ159" s="49"/>
      <c r="BR159" s="49"/>
    </row>
    <row r="160" spans="65:70" x14ac:dyDescent="0.25">
      <c r="BM160" s="49"/>
      <c r="BN160" s="49"/>
      <c r="BO160" s="49"/>
      <c r="BP160" s="49"/>
      <c r="BQ160" s="49"/>
      <c r="BR160" s="49"/>
    </row>
    <row r="161" spans="65:70" x14ac:dyDescent="0.25">
      <c r="BM161" s="49"/>
      <c r="BN161" s="49"/>
      <c r="BO161" s="49"/>
      <c r="BP161" s="49"/>
      <c r="BQ161" s="49"/>
      <c r="BR161" s="49"/>
    </row>
    <row r="162" spans="65:70" x14ac:dyDescent="0.25">
      <c r="BM162" s="49"/>
      <c r="BN162" s="49"/>
      <c r="BO162" s="49"/>
      <c r="BP162" s="49"/>
      <c r="BQ162" s="49"/>
      <c r="BR162" s="49"/>
    </row>
    <row r="163" spans="65:70" x14ac:dyDescent="0.25">
      <c r="BM163" s="49"/>
      <c r="BN163" s="49"/>
      <c r="BO163" s="49"/>
      <c r="BP163" s="49"/>
      <c r="BQ163" s="49"/>
      <c r="BR163" s="49"/>
    </row>
    <row r="164" spans="65:70" x14ac:dyDescent="0.25">
      <c r="BM164" s="49"/>
      <c r="BN164" s="49"/>
      <c r="BO164" s="49"/>
      <c r="BP164" s="49"/>
      <c r="BQ164" s="49"/>
      <c r="BR164" s="49"/>
    </row>
    <row r="165" spans="65:70" x14ac:dyDescent="0.25">
      <c r="BM165" s="49"/>
      <c r="BN165" s="49"/>
      <c r="BO165" s="49"/>
      <c r="BP165" s="49"/>
      <c r="BQ165" s="49"/>
      <c r="BR165" s="49"/>
    </row>
    <row r="166" spans="65:70" x14ac:dyDescent="0.25">
      <c r="BM166" s="49"/>
      <c r="BN166" s="49"/>
      <c r="BO166" s="49"/>
      <c r="BP166" s="49"/>
      <c r="BQ166" s="49"/>
      <c r="BR166" s="49"/>
    </row>
    <row r="167" spans="65:70" x14ac:dyDescent="0.25">
      <c r="BM167" s="49"/>
      <c r="BN167" s="49"/>
      <c r="BO167" s="49"/>
      <c r="BP167" s="49"/>
      <c r="BQ167" s="49"/>
      <c r="BR167" s="49"/>
    </row>
    <row r="168" spans="65:70" x14ac:dyDescent="0.25">
      <c r="BM168" s="49"/>
      <c r="BN168" s="49"/>
      <c r="BO168" s="49"/>
      <c r="BP168" s="49"/>
      <c r="BQ168" s="49"/>
      <c r="BR168" s="49"/>
    </row>
    <row r="169" spans="65:70" x14ac:dyDescent="0.25">
      <c r="BM169" s="49"/>
      <c r="BN169" s="49"/>
      <c r="BO169" s="49"/>
      <c r="BP169" s="49"/>
      <c r="BQ169" s="49"/>
      <c r="BR169" s="49"/>
    </row>
    <row r="170" spans="65:70" x14ac:dyDescent="0.25">
      <c r="BM170" s="49"/>
      <c r="BN170" s="49"/>
      <c r="BO170" s="49"/>
      <c r="BP170" s="49"/>
      <c r="BQ170" s="49"/>
      <c r="BR170" s="49"/>
    </row>
    <row r="171" spans="65:70" x14ac:dyDescent="0.25">
      <c r="BM171" s="49"/>
      <c r="BN171" s="49"/>
      <c r="BO171" s="49"/>
      <c r="BP171" s="49"/>
      <c r="BQ171" s="49"/>
      <c r="BR171" s="49"/>
    </row>
    <row r="172" spans="65:70" x14ac:dyDescent="0.25">
      <c r="BM172" s="49"/>
      <c r="BN172" s="49"/>
      <c r="BO172" s="49"/>
      <c r="BP172" s="49"/>
      <c r="BQ172" s="49"/>
      <c r="BR172" s="49"/>
    </row>
    <row r="173" spans="65:70" x14ac:dyDescent="0.25">
      <c r="BM173" s="49"/>
      <c r="BN173" s="49"/>
      <c r="BO173" s="49"/>
      <c r="BP173" s="49"/>
      <c r="BQ173" s="49"/>
      <c r="BR173" s="49"/>
    </row>
    <row r="174" spans="65:70" x14ac:dyDescent="0.25">
      <c r="BM174" s="49"/>
      <c r="BN174" s="49"/>
      <c r="BO174" s="49"/>
      <c r="BP174" s="49"/>
      <c r="BQ174" s="49"/>
      <c r="BR174" s="49"/>
    </row>
    <row r="175" spans="65:70" x14ac:dyDescent="0.25">
      <c r="BM175" s="49"/>
      <c r="BN175" s="49"/>
      <c r="BO175" s="49"/>
      <c r="BP175" s="49"/>
      <c r="BQ175" s="49"/>
      <c r="BR175" s="49"/>
    </row>
    <row r="176" spans="65:70" x14ac:dyDescent="0.25">
      <c r="BM176" s="49"/>
      <c r="BN176" s="49"/>
      <c r="BO176" s="49"/>
      <c r="BP176" s="49"/>
      <c r="BQ176" s="49"/>
      <c r="BR176" s="49"/>
    </row>
    <row r="177" spans="65:70" x14ac:dyDescent="0.25">
      <c r="BM177" s="49"/>
      <c r="BN177" s="49"/>
      <c r="BO177" s="49"/>
      <c r="BP177" s="49"/>
      <c r="BQ177" s="49"/>
      <c r="BR177" s="49"/>
    </row>
    <row r="178" spans="65:70" x14ac:dyDescent="0.25">
      <c r="BM178" s="49"/>
      <c r="BN178" s="49"/>
      <c r="BO178" s="49"/>
      <c r="BP178" s="49"/>
      <c r="BQ178" s="49"/>
      <c r="BR178" s="49"/>
    </row>
    <row r="179" spans="65:70" x14ac:dyDescent="0.25">
      <c r="BM179" s="49"/>
      <c r="BN179" s="49"/>
      <c r="BO179" s="49"/>
      <c r="BP179" s="49"/>
      <c r="BQ179" s="49"/>
      <c r="BR179" s="49"/>
    </row>
    <row r="180" spans="65:70" x14ac:dyDescent="0.25">
      <c r="BM180" s="49"/>
      <c r="BN180" s="49"/>
      <c r="BO180" s="49"/>
      <c r="BP180" s="49"/>
      <c r="BQ180" s="49"/>
      <c r="BR180" s="49"/>
    </row>
    <row r="181" spans="65:70" x14ac:dyDescent="0.25">
      <c r="BM181" s="49"/>
      <c r="BN181" s="49"/>
      <c r="BO181" s="49"/>
      <c r="BP181" s="49"/>
      <c r="BQ181" s="49"/>
      <c r="BR181" s="49"/>
    </row>
    <row r="182" spans="65:70" x14ac:dyDescent="0.25">
      <c r="BM182" s="49"/>
      <c r="BN182" s="49"/>
      <c r="BO182" s="49"/>
      <c r="BP182" s="49"/>
      <c r="BQ182" s="49"/>
      <c r="BR182" s="49"/>
    </row>
    <row r="183" spans="65:70" x14ac:dyDescent="0.25">
      <c r="BM183" s="49"/>
      <c r="BN183" s="49"/>
      <c r="BO183" s="49"/>
      <c r="BP183" s="49"/>
      <c r="BQ183" s="49"/>
      <c r="BR183" s="49"/>
    </row>
    <row r="184" spans="65:70" x14ac:dyDescent="0.25">
      <c r="BM184" s="49"/>
      <c r="BN184" s="49"/>
      <c r="BO184" s="49"/>
      <c r="BP184" s="49"/>
      <c r="BQ184" s="49"/>
      <c r="BR184" s="49"/>
    </row>
    <row r="185" spans="65:70" x14ac:dyDescent="0.25">
      <c r="BM185" s="49"/>
      <c r="BN185" s="49"/>
      <c r="BO185" s="49"/>
      <c r="BP185" s="49"/>
      <c r="BQ185" s="49"/>
      <c r="BR185" s="49"/>
    </row>
    <row r="186" spans="65:70" x14ac:dyDescent="0.25">
      <c r="BM186" s="49"/>
      <c r="BN186" s="49"/>
      <c r="BO186" s="49"/>
      <c r="BP186" s="49"/>
      <c r="BQ186" s="49"/>
      <c r="BR186" s="49"/>
    </row>
    <row r="187" spans="65:70" x14ac:dyDescent="0.25">
      <c r="BM187" s="49"/>
      <c r="BN187" s="49"/>
      <c r="BO187" s="49"/>
      <c r="BP187" s="49"/>
      <c r="BQ187" s="49"/>
      <c r="BR187" s="49"/>
    </row>
    <row r="188" spans="65:70" x14ac:dyDescent="0.25">
      <c r="BM188" s="49"/>
      <c r="BN188" s="49"/>
      <c r="BO188" s="49"/>
      <c r="BP188" s="49"/>
      <c r="BQ188" s="49"/>
      <c r="BR188" s="49"/>
    </row>
    <row r="189" spans="65:70" x14ac:dyDescent="0.25">
      <c r="BM189" s="49"/>
      <c r="BN189" s="49"/>
      <c r="BO189" s="49"/>
      <c r="BP189" s="49"/>
      <c r="BQ189" s="49"/>
      <c r="BR189" s="49"/>
    </row>
    <row r="190" spans="65:70" x14ac:dyDescent="0.25">
      <c r="BM190" s="49"/>
      <c r="BN190" s="49"/>
      <c r="BO190" s="49"/>
      <c r="BP190" s="49"/>
      <c r="BQ190" s="49"/>
      <c r="BR190" s="49"/>
    </row>
    <row r="191" spans="65:70" x14ac:dyDescent="0.25">
      <c r="BM191" s="49"/>
      <c r="BN191" s="49"/>
      <c r="BO191" s="49"/>
      <c r="BP191" s="49"/>
      <c r="BQ191" s="49"/>
      <c r="BR191" s="49"/>
    </row>
    <row r="192" spans="65:70" x14ac:dyDescent="0.25">
      <c r="BM192" s="49"/>
      <c r="BN192" s="49"/>
      <c r="BO192" s="49"/>
      <c r="BP192" s="49"/>
      <c r="BQ192" s="49"/>
      <c r="BR192" s="49"/>
    </row>
    <row r="193" spans="65:70" x14ac:dyDescent="0.25">
      <c r="BM193" s="49"/>
      <c r="BN193" s="49"/>
      <c r="BO193" s="49"/>
      <c r="BP193" s="49"/>
      <c r="BQ193" s="49"/>
      <c r="BR193" s="49"/>
    </row>
    <row r="194" spans="65:70" x14ac:dyDescent="0.25">
      <c r="BM194" s="49"/>
      <c r="BN194" s="49"/>
      <c r="BO194" s="49"/>
      <c r="BP194" s="49"/>
      <c r="BQ194" s="49"/>
      <c r="BR194" s="49"/>
    </row>
    <row r="195" spans="65:70" x14ac:dyDescent="0.25">
      <c r="BM195" s="49"/>
      <c r="BN195" s="49"/>
      <c r="BO195" s="49"/>
      <c r="BP195" s="49"/>
      <c r="BQ195" s="49"/>
      <c r="BR195" s="49"/>
    </row>
    <row r="196" spans="65:70" x14ac:dyDescent="0.25">
      <c r="BM196" s="49"/>
      <c r="BN196" s="49"/>
      <c r="BO196" s="49"/>
      <c r="BP196" s="49"/>
      <c r="BQ196" s="49"/>
      <c r="BR196" s="49"/>
    </row>
    <row r="197" spans="65:70" x14ac:dyDescent="0.25">
      <c r="BM197" s="49"/>
      <c r="BN197" s="49"/>
      <c r="BO197" s="49"/>
      <c r="BP197" s="49"/>
      <c r="BQ197" s="49"/>
      <c r="BR197" s="49"/>
    </row>
    <row r="198" spans="65:70" x14ac:dyDescent="0.25">
      <c r="BM198" s="49"/>
      <c r="BN198" s="49"/>
      <c r="BO198" s="49"/>
      <c r="BP198" s="49"/>
      <c r="BQ198" s="49"/>
      <c r="BR198" s="49"/>
    </row>
    <row r="199" spans="65:70" x14ac:dyDescent="0.25">
      <c r="BM199" s="49"/>
      <c r="BN199" s="49"/>
      <c r="BO199" s="49"/>
      <c r="BP199" s="49"/>
      <c r="BQ199" s="49"/>
      <c r="BR199" s="49"/>
    </row>
    <row r="200" spans="65:70" x14ac:dyDescent="0.25">
      <c r="BM200" s="49"/>
      <c r="BN200" s="49"/>
      <c r="BO200" s="49"/>
      <c r="BP200" s="49"/>
      <c r="BQ200" s="49"/>
      <c r="BR200" s="49"/>
    </row>
    <row r="201" spans="65:70" x14ac:dyDescent="0.25">
      <c r="BM201" s="49"/>
      <c r="BN201" s="49"/>
      <c r="BO201" s="49"/>
      <c r="BP201" s="49"/>
      <c r="BQ201" s="49"/>
      <c r="BR201" s="49"/>
    </row>
    <row r="202" spans="65:70" x14ac:dyDescent="0.25">
      <c r="BM202" s="49"/>
      <c r="BN202" s="49"/>
      <c r="BO202" s="49"/>
      <c r="BP202" s="49"/>
      <c r="BQ202" s="49"/>
      <c r="BR202" s="49"/>
    </row>
    <row r="203" spans="65:70" x14ac:dyDescent="0.25">
      <c r="BM203" s="49"/>
      <c r="BN203" s="49"/>
      <c r="BO203" s="49"/>
      <c r="BP203" s="49"/>
      <c r="BQ203" s="49"/>
      <c r="BR203" s="49"/>
    </row>
    <row r="204" spans="65:70" x14ac:dyDescent="0.25">
      <c r="BM204" s="49"/>
      <c r="BN204" s="49"/>
      <c r="BO204" s="49"/>
      <c r="BP204" s="49"/>
      <c r="BQ204" s="49"/>
      <c r="BR204" s="49"/>
    </row>
    <row r="205" spans="65:70" x14ac:dyDescent="0.25">
      <c r="BM205" s="49"/>
      <c r="BN205" s="49"/>
      <c r="BO205" s="49"/>
      <c r="BP205" s="49"/>
      <c r="BQ205" s="49"/>
      <c r="BR205" s="49"/>
    </row>
    <row r="206" spans="65:70" x14ac:dyDescent="0.25">
      <c r="BM206" s="49"/>
      <c r="BN206" s="49"/>
      <c r="BO206" s="49"/>
      <c r="BP206" s="49"/>
      <c r="BQ206" s="49"/>
      <c r="BR206" s="49"/>
    </row>
    <row r="207" spans="65:70" x14ac:dyDescent="0.25">
      <c r="BM207" s="49"/>
      <c r="BN207" s="49"/>
      <c r="BO207" s="49"/>
      <c r="BP207" s="49"/>
      <c r="BQ207" s="49"/>
      <c r="BR207" s="49"/>
    </row>
    <row r="208" spans="65:70" x14ac:dyDescent="0.25">
      <c r="BM208" s="49"/>
      <c r="BN208" s="49"/>
      <c r="BO208" s="49"/>
      <c r="BP208" s="49"/>
      <c r="BQ208" s="49"/>
      <c r="BR208" s="49"/>
    </row>
    <row r="209" spans="65:70" x14ac:dyDescent="0.25">
      <c r="BM209" s="49"/>
      <c r="BN209" s="49"/>
      <c r="BO209" s="49"/>
      <c r="BP209" s="49"/>
      <c r="BQ209" s="49"/>
      <c r="BR209" s="49"/>
    </row>
    <row r="210" spans="65:70" x14ac:dyDescent="0.25">
      <c r="BM210" s="49"/>
      <c r="BN210" s="49"/>
      <c r="BO210" s="49"/>
      <c r="BP210" s="49"/>
      <c r="BQ210" s="49"/>
      <c r="BR210" s="49"/>
    </row>
    <row r="211" spans="65:70" x14ac:dyDescent="0.25">
      <c r="BM211" s="49"/>
      <c r="BN211" s="49"/>
      <c r="BO211" s="49"/>
      <c r="BP211" s="49"/>
      <c r="BQ211" s="49"/>
      <c r="BR211" s="49"/>
    </row>
    <row r="212" spans="65:70" x14ac:dyDescent="0.25">
      <c r="BM212" s="49"/>
      <c r="BN212" s="49"/>
      <c r="BO212" s="49"/>
      <c r="BP212" s="49"/>
      <c r="BQ212" s="49"/>
      <c r="BR212" s="49"/>
    </row>
    <row r="213" spans="65:70" x14ac:dyDescent="0.25">
      <c r="BM213" s="49"/>
      <c r="BN213" s="49"/>
      <c r="BO213" s="49"/>
      <c r="BP213" s="49"/>
      <c r="BQ213" s="49"/>
      <c r="BR213" s="49"/>
    </row>
    <row r="214" spans="65:70" x14ac:dyDescent="0.25">
      <c r="BM214" s="49"/>
      <c r="BN214" s="49"/>
      <c r="BO214" s="49"/>
      <c r="BP214" s="49"/>
      <c r="BQ214" s="49"/>
      <c r="BR214" s="49"/>
    </row>
    <row r="215" spans="65:70" x14ac:dyDescent="0.25">
      <c r="BM215" s="49"/>
      <c r="BN215" s="49"/>
      <c r="BO215" s="49"/>
      <c r="BP215" s="49"/>
      <c r="BQ215" s="49"/>
      <c r="BR215" s="49"/>
    </row>
    <row r="216" spans="65:70" x14ac:dyDescent="0.25">
      <c r="BM216" s="49"/>
      <c r="BN216" s="49"/>
      <c r="BO216" s="49"/>
      <c r="BP216" s="49"/>
      <c r="BQ216" s="49"/>
      <c r="BR216" s="49"/>
    </row>
    <row r="217" spans="65:70" x14ac:dyDescent="0.25">
      <c r="BM217" s="49"/>
      <c r="BN217" s="49"/>
      <c r="BO217" s="49"/>
      <c r="BP217" s="49"/>
      <c r="BQ217" s="49"/>
      <c r="BR217" s="49"/>
    </row>
    <row r="218" spans="65:70" x14ac:dyDescent="0.25">
      <c r="BM218" s="49"/>
      <c r="BN218" s="49"/>
      <c r="BO218" s="49"/>
      <c r="BP218" s="49"/>
      <c r="BQ218" s="49"/>
      <c r="BR218" s="49"/>
    </row>
    <row r="219" spans="65:70" x14ac:dyDescent="0.25">
      <c r="BM219" s="49"/>
      <c r="BN219" s="49"/>
      <c r="BO219" s="49"/>
      <c r="BP219" s="49"/>
      <c r="BQ219" s="49"/>
      <c r="BR219" s="49"/>
    </row>
    <row r="220" spans="65:70" x14ac:dyDescent="0.25">
      <c r="BM220" s="49"/>
      <c r="BN220" s="49"/>
      <c r="BO220" s="49"/>
      <c r="BP220" s="49"/>
      <c r="BQ220" s="49"/>
      <c r="BR220" s="49"/>
    </row>
    <row r="221" spans="65:70" x14ac:dyDescent="0.25">
      <c r="BM221" s="49"/>
      <c r="BN221" s="49"/>
      <c r="BO221" s="49"/>
      <c r="BP221" s="49"/>
      <c r="BQ221" s="49"/>
      <c r="BR221" s="49"/>
    </row>
    <row r="222" spans="65:70" x14ac:dyDescent="0.25">
      <c r="BM222" s="49"/>
      <c r="BN222" s="49"/>
      <c r="BO222" s="49"/>
      <c r="BP222" s="49"/>
      <c r="BQ222" s="49"/>
      <c r="BR222" s="49"/>
    </row>
    <row r="223" spans="65:70" x14ac:dyDescent="0.25">
      <c r="BM223" s="49"/>
      <c r="BN223" s="49"/>
      <c r="BO223" s="49"/>
      <c r="BP223" s="49"/>
      <c r="BQ223" s="49"/>
      <c r="BR223" s="49"/>
    </row>
    <row r="224" spans="65:70" x14ac:dyDescent="0.25">
      <c r="BM224" s="49"/>
      <c r="BN224" s="49"/>
      <c r="BO224" s="49"/>
      <c r="BP224" s="49"/>
      <c r="BQ224" s="49"/>
      <c r="BR224" s="49"/>
    </row>
    <row r="225" spans="65:70" x14ac:dyDescent="0.25">
      <c r="BM225" s="49"/>
      <c r="BN225" s="49"/>
      <c r="BO225" s="49"/>
      <c r="BP225" s="49"/>
      <c r="BQ225" s="49"/>
      <c r="BR225" s="49"/>
    </row>
    <row r="226" spans="65:70" x14ac:dyDescent="0.25">
      <c r="BM226" s="49"/>
      <c r="BN226" s="49"/>
      <c r="BO226" s="49"/>
      <c r="BP226" s="49"/>
      <c r="BQ226" s="49"/>
      <c r="BR226" s="49"/>
    </row>
    <row r="227" spans="65:70" x14ac:dyDescent="0.25">
      <c r="BM227" s="49"/>
      <c r="BN227" s="49"/>
      <c r="BO227" s="49"/>
      <c r="BP227" s="49"/>
      <c r="BQ227" s="49"/>
      <c r="BR227" s="49"/>
    </row>
    <row r="228" spans="65:70" x14ac:dyDescent="0.25">
      <c r="BM228" s="49"/>
      <c r="BN228" s="49"/>
      <c r="BO228" s="49"/>
      <c r="BP228" s="49"/>
      <c r="BQ228" s="49"/>
      <c r="BR228" s="49"/>
    </row>
    <row r="229" spans="65:70" x14ac:dyDescent="0.25">
      <c r="BM229" s="49"/>
      <c r="BN229" s="49"/>
      <c r="BO229" s="49"/>
      <c r="BP229" s="49"/>
      <c r="BQ229" s="49"/>
      <c r="BR229" s="49"/>
    </row>
    <row r="230" spans="65:70" x14ac:dyDescent="0.25">
      <c r="BM230" s="49"/>
      <c r="BN230" s="49"/>
      <c r="BO230" s="49"/>
      <c r="BP230" s="49"/>
      <c r="BQ230" s="49"/>
      <c r="BR230" s="49"/>
    </row>
    <row r="231" spans="65:70" x14ac:dyDescent="0.25">
      <c r="BM231" s="49"/>
      <c r="BN231" s="49"/>
      <c r="BO231" s="49"/>
      <c r="BP231" s="49"/>
      <c r="BQ231" s="49"/>
      <c r="BR231" s="49"/>
    </row>
    <row r="232" spans="65:70" x14ac:dyDescent="0.25">
      <c r="BM232" s="49"/>
      <c r="BN232" s="49"/>
      <c r="BO232" s="49"/>
      <c r="BP232" s="49"/>
      <c r="BQ232" s="49"/>
      <c r="BR232" s="49"/>
    </row>
    <row r="233" spans="65:70" x14ac:dyDescent="0.25">
      <c r="BM233" s="49"/>
      <c r="BN233" s="49"/>
      <c r="BO233" s="49"/>
      <c r="BP233" s="49"/>
      <c r="BQ233" s="49"/>
      <c r="BR233" s="49"/>
    </row>
    <row r="234" spans="65:70" x14ac:dyDescent="0.25">
      <c r="BM234" s="49"/>
      <c r="BN234" s="49"/>
      <c r="BO234" s="49"/>
      <c r="BP234" s="49"/>
      <c r="BQ234" s="49"/>
      <c r="BR234" s="49"/>
    </row>
    <row r="235" spans="65:70" x14ac:dyDescent="0.25">
      <c r="BM235" s="49"/>
      <c r="BN235" s="49"/>
      <c r="BO235" s="49"/>
      <c r="BP235" s="49"/>
      <c r="BQ235" s="49"/>
      <c r="BR235" s="49"/>
    </row>
    <row r="236" spans="65:70" x14ac:dyDescent="0.25">
      <c r="BM236" s="49"/>
      <c r="BN236" s="49"/>
      <c r="BO236" s="49"/>
      <c r="BP236" s="49"/>
      <c r="BQ236" s="49"/>
      <c r="BR236" s="49"/>
    </row>
    <row r="237" spans="65:70" x14ac:dyDescent="0.25">
      <c r="BM237" s="49"/>
      <c r="BN237" s="49"/>
      <c r="BO237" s="49"/>
      <c r="BP237" s="49"/>
      <c r="BQ237" s="49"/>
      <c r="BR237" s="49"/>
    </row>
    <row r="238" spans="65:70" x14ac:dyDescent="0.25">
      <c r="BM238" s="49"/>
      <c r="BN238" s="49"/>
      <c r="BO238" s="49"/>
      <c r="BP238" s="49"/>
      <c r="BQ238" s="49"/>
      <c r="BR238" s="49"/>
    </row>
    <row r="239" spans="65:70" x14ac:dyDescent="0.25">
      <c r="BM239" s="49"/>
      <c r="BN239" s="49"/>
      <c r="BO239" s="49"/>
      <c r="BP239" s="49"/>
      <c r="BQ239" s="49"/>
      <c r="BR239" s="49"/>
    </row>
    <row r="240" spans="65:70" x14ac:dyDescent="0.25">
      <c r="BM240" s="49"/>
      <c r="BN240" s="49"/>
      <c r="BO240" s="49"/>
      <c r="BP240" s="49"/>
      <c r="BQ240" s="49"/>
      <c r="BR240" s="49"/>
    </row>
    <row r="241" spans="65:70" x14ac:dyDescent="0.25">
      <c r="BM241" s="49"/>
      <c r="BN241" s="49"/>
      <c r="BO241" s="49"/>
      <c r="BP241" s="49"/>
      <c r="BQ241" s="49"/>
      <c r="BR241" s="49"/>
    </row>
    <row r="242" spans="65:70" x14ac:dyDescent="0.25">
      <c r="BM242" s="49"/>
      <c r="BN242" s="49"/>
      <c r="BO242" s="49"/>
      <c r="BP242" s="49"/>
      <c r="BQ242" s="49"/>
      <c r="BR242" s="49"/>
    </row>
    <row r="243" spans="65:70" x14ac:dyDescent="0.25">
      <c r="BM243" s="49"/>
      <c r="BN243" s="49"/>
      <c r="BO243" s="49"/>
      <c r="BP243" s="49"/>
      <c r="BQ243" s="49"/>
      <c r="BR243" s="49"/>
    </row>
    <row r="244" spans="65:70" x14ac:dyDescent="0.25">
      <c r="BM244" s="49"/>
      <c r="BN244" s="49"/>
      <c r="BO244" s="49"/>
      <c r="BP244" s="49"/>
      <c r="BQ244" s="49"/>
      <c r="BR244" s="49"/>
    </row>
    <row r="245" spans="65:70" x14ac:dyDescent="0.25">
      <c r="BM245" s="49"/>
      <c r="BN245" s="49"/>
      <c r="BO245" s="49"/>
      <c r="BP245" s="49"/>
      <c r="BQ245" s="49"/>
      <c r="BR245" s="49"/>
    </row>
    <row r="246" spans="65:70" x14ac:dyDescent="0.25">
      <c r="BM246" s="49"/>
      <c r="BN246" s="49"/>
      <c r="BO246" s="49"/>
      <c r="BP246" s="49"/>
      <c r="BQ246" s="49"/>
      <c r="BR246" s="49"/>
    </row>
    <row r="247" spans="65:70" x14ac:dyDescent="0.25">
      <c r="BM247" s="49"/>
      <c r="BN247" s="49"/>
      <c r="BO247" s="49"/>
      <c r="BP247" s="49"/>
      <c r="BQ247" s="49"/>
      <c r="BR247" s="49"/>
    </row>
    <row r="248" spans="65:70" x14ac:dyDescent="0.25">
      <c r="BM248" s="49"/>
      <c r="BN248" s="49"/>
      <c r="BO248" s="49"/>
      <c r="BP248" s="49"/>
      <c r="BQ248" s="49"/>
      <c r="BR248" s="49"/>
    </row>
    <row r="249" spans="65:70" x14ac:dyDescent="0.25">
      <c r="BM249" s="49"/>
      <c r="BN249" s="49"/>
      <c r="BO249" s="49"/>
      <c r="BP249" s="49"/>
      <c r="BQ249" s="49"/>
      <c r="BR249" s="49"/>
    </row>
    <row r="250" spans="65:70" x14ac:dyDescent="0.25">
      <c r="BM250" s="49"/>
      <c r="BN250" s="49"/>
      <c r="BO250" s="49"/>
      <c r="BP250" s="49"/>
      <c r="BQ250" s="49"/>
      <c r="BR250" s="49"/>
    </row>
    <row r="251" spans="65:70" x14ac:dyDescent="0.25">
      <c r="BM251" s="49"/>
      <c r="BN251" s="49"/>
      <c r="BO251" s="49"/>
      <c r="BP251" s="49"/>
      <c r="BQ251" s="49"/>
      <c r="BR251" s="49"/>
    </row>
    <row r="252" spans="65:70" x14ac:dyDescent="0.25">
      <c r="BM252" s="49"/>
      <c r="BN252" s="49"/>
      <c r="BO252" s="49"/>
      <c r="BP252" s="49"/>
      <c r="BQ252" s="49"/>
      <c r="BR252" s="49"/>
    </row>
    <row r="253" spans="65:70" x14ac:dyDescent="0.25">
      <c r="BM253" s="49"/>
      <c r="BN253" s="49"/>
      <c r="BO253" s="49"/>
      <c r="BP253" s="49"/>
      <c r="BQ253" s="49"/>
      <c r="BR253" s="49"/>
    </row>
    <row r="254" spans="65:70" x14ac:dyDescent="0.25">
      <c r="BM254" s="49"/>
      <c r="BN254" s="49"/>
      <c r="BO254" s="49"/>
      <c r="BP254" s="49"/>
      <c r="BQ254" s="49"/>
      <c r="BR254" s="49"/>
    </row>
    <row r="255" spans="65:70" x14ac:dyDescent="0.25">
      <c r="BM255" s="49"/>
      <c r="BN255" s="49"/>
      <c r="BO255" s="49"/>
      <c r="BP255" s="49"/>
      <c r="BQ255" s="49"/>
      <c r="BR255" s="49"/>
    </row>
    <row r="256" spans="65:70" x14ac:dyDescent="0.25">
      <c r="BM256" s="49"/>
      <c r="BN256" s="49"/>
      <c r="BO256" s="49"/>
      <c r="BP256" s="49"/>
      <c r="BQ256" s="49"/>
      <c r="BR256" s="49"/>
    </row>
    <row r="257" spans="65:70" x14ac:dyDescent="0.25">
      <c r="BM257" s="49"/>
      <c r="BN257" s="49"/>
      <c r="BO257" s="49"/>
      <c r="BP257" s="49"/>
      <c r="BQ257" s="49"/>
      <c r="BR257" s="49"/>
    </row>
    <row r="258" spans="65:70" x14ac:dyDescent="0.25">
      <c r="BM258" s="49"/>
      <c r="BN258" s="49"/>
      <c r="BO258" s="49"/>
      <c r="BP258" s="49"/>
      <c r="BQ258" s="49"/>
      <c r="BR258" s="49"/>
    </row>
    <row r="259" spans="65:70" x14ac:dyDescent="0.25">
      <c r="BM259" s="49"/>
      <c r="BN259" s="49"/>
      <c r="BO259" s="49"/>
      <c r="BP259" s="49"/>
      <c r="BQ259" s="49"/>
      <c r="BR259" s="49"/>
    </row>
    <row r="260" spans="65:70" x14ac:dyDescent="0.25">
      <c r="BM260" s="49"/>
      <c r="BN260" s="49"/>
      <c r="BO260" s="49"/>
      <c r="BP260" s="49"/>
      <c r="BQ260" s="49"/>
      <c r="BR260" s="49"/>
    </row>
    <row r="261" spans="65:70" x14ac:dyDescent="0.25">
      <c r="BM261" s="49"/>
      <c r="BN261" s="49"/>
      <c r="BO261" s="49"/>
      <c r="BP261" s="49"/>
      <c r="BQ261" s="49"/>
      <c r="BR261" s="49"/>
    </row>
    <row r="262" spans="65:70" x14ac:dyDescent="0.25">
      <c r="BM262" s="49"/>
      <c r="BN262" s="49"/>
      <c r="BO262" s="49"/>
      <c r="BP262" s="49"/>
      <c r="BQ262" s="49"/>
      <c r="BR262" s="49"/>
    </row>
    <row r="263" spans="65:70" x14ac:dyDescent="0.25">
      <c r="BM263" s="49"/>
      <c r="BN263" s="49"/>
      <c r="BO263" s="49"/>
      <c r="BP263" s="49"/>
      <c r="BQ263" s="49"/>
      <c r="BR263" s="49"/>
    </row>
    <row r="264" spans="65:70" x14ac:dyDescent="0.25">
      <c r="BM264" s="49"/>
      <c r="BN264" s="49"/>
      <c r="BO264" s="49"/>
      <c r="BP264" s="49"/>
      <c r="BQ264" s="49"/>
      <c r="BR264" s="49"/>
    </row>
    <row r="265" spans="65:70" x14ac:dyDescent="0.25">
      <c r="BM265" s="49"/>
      <c r="BN265" s="49"/>
      <c r="BO265" s="49"/>
      <c r="BP265" s="49"/>
      <c r="BQ265" s="49"/>
      <c r="BR265" s="49"/>
    </row>
    <row r="266" spans="65:70" x14ac:dyDescent="0.25">
      <c r="BM266" s="49"/>
      <c r="BN266" s="49"/>
      <c r="BO266" s="49"/>
      <c r="BP266" s="49"/>
      <c r="BQ266" s="49"/>
      <c r="BR266" s="49"/>
    </row>
    <row r="267" spans="65:70" x14ac:dyDescent="0.25">
      <c r="BM267" s="49"/>
      <c r="BN267" s="49"/>
      <c r="BO267" s="49"/>
      <c r="BP267" s="49"/>
      <c r="BQ267" s="49"/>
      <c r="BR267" s="49"/>
    </row>
    <row r="268" spans="65:70" x14ac:dyDescent="0.25">
      <c r="BM268" s="49"/>
      <c r="BN268" s="49"/>
      <c r="BO268" s="49"/>
      <c r="BP268" s="49"/>
      <c r="BQ268" s="49"/>
      <c r="BR268" s="49"/>
    </row>
    <row r="269" spans="65:70" x14ac:dyDescent="0.25">
      <c r="BM269" s="49"/>
      <c r="BN269" s="49"/>
      <c r="BO269" s="49"/>
      <c r="BP269" s="49"/>
      <c r="BQ269" s="49"/>
      <c r="BR269" s="49"/>
    </row>
    <row r="270" spans="65:70" x14ac:dyDescent="0.25">
      <c r="BM270" s="49"/>
      <c r="BN270" s="49"/>
      <c r="BO270" s="49"/>
      <c r="BP270" s="49"/>
      <c r="BQ270" s="49"/>
      <c r="BR270" s="49"/>
    </row>
    <row r="271" spans="65:70" x14ac:dyDescent="0.25">
      <c r="BM271" s="49"/>
      <c r="BN271" s="49"/>
      <c r="BO271" s="49"/>
      <c r="BP271" s="49"/>
      <c r="BQ271" s="49"/>
      <c r="BR271" s="49"/>
    </row>
    <row r="272" spans="65:70" x14ac:dyDescent="0.25">
      <c r="BM272" s="49"/>
      <c r="BN272" s="49"/>
      <c r="BO272" s="49"/>
      <c r="BP272" s="49"/>
      <c r="BQ272" s="49"/>
      <c r="BR272" s="49"/>
    </row>
    <row r="273" spans="65:70" x14ac:dyDescent="0.25">
      <c r="BM273" s="49"/>
      <c r="BN273" s="49"/>
      <c r="BO273" s="49"/>
      <c r="BP273" s="49"/>
      <c r="BQ273" s="49"/>
      <c r="BR273" s="49"/>
    </row>
    <row r="274" spans="65:70" x14ac:dyDescent="0.25">
      <c r="BM274" s="49"/>
      <c r="BN274" s="49"/>
      <c r="BO274" s="49"/>
      <c r="BP274" s="49"/>
      <c r="BQ274" s="49"/>
      <c r="BR274" s="49"/>
    </row>
    <row r="275" spans="65:70" x14ac:dyDescent="0.25">
      <c r="BM275" s="49"/>
      <c r="BN275" s="49"/>
      <c r="BO275" s="49"/>
      <c r="BP275" s="49"/>
      <c r="BQ275" s="49"/>
      <c r="BR275" s="49"/>
    </row>
    <row r="276" spans="65:70" x14ac:dyDescent="0.25">
      <c r="BM276" s="49"/>
      <c r="BN276" s="49"/>
      <c r="BO276" s="49"/>
      <c r="BP276" s="49"/>
      <c r="BQ276" s="49"/>
      <c r="BR276" s="49"/>
    </row>
    <row r="277" spans="65:70" x14ac:dyDescent="0.25">
      <c r="BM277" s="49"/>
      <c r="BN277" s="49"/>
      <c r="BO277" s="49"/>
      <c r="BP277" s="49"/>
      <c r="BQ277" s="49"/>
      <c r="BR277" s="49"/>
    </row>
    <row r="278" spans="65:70" x14ac:dyDescent="0.25">
      <c r="BM278" s="49"/>
      <c r="BN278" s="49"/>
      <c r="BO278" s="49"/>
      <c r="BP278" s="49"/>
      <c r="BQ278" s="49"/>
      <c r="BR278" s="49"/>
    </row>
    <row r="279" spans="65:70" x14ac:dyDescent="0.25">
      <c r="BM279" s="49"/>
      <c r="BN279" s="49"/>
      <c r="BO279" s="49"/>
      <c r="BP279" s="49"/>
      <c r="BQ279" s="49"/>
      <c r="BR279" s="49"/>
    </row>
    <row r="280" spans="65:70" x14ac:dyDescent="0.25">
      <c r="BM280" s="49"/>
      <c r="BN280" s="49"/>
      <c r="BO280" s="49"/>
      <c r="BP280" s="49"/>
      <c r="BQ280" s="49"/>
      <c r="BR280" s="49"/>
    </row>
    <row r="281" spans="65:70" x14ac:dyDescent="0.25">
      <c r="BM281" s="49"/>
      <c r="BN281" s="49"/>
      <c r="BO281" s="49"/>
      <c r="BP281" s="49"/>
      <c r="BQ281" s="49"/>
      <c r="BR281" s="49"/>
    </row>
    <row r="282" spans="65:70" x14ac:dyDescent="0.25">
      <c r="BM282" s="49"/>
      <c r="BN282" s="49"/>
      <c r="BO282" s="49"/>
      <c r="BP282" s="49"/>
      <c r="BQ282" s="49"/>
      <c r="BR282" s="49"/>
    </row>
    <row r="283" spans="65:70" x14ac:dyDescent="0.25">
      <c r="BM283" s="49"/>
      <c r="BN283" s="49"/>
      <c r="BO283" s="49"/>
      <c r="BP283" s="49"/>
      <c r="BQ283" s="49"/>
      <c r="BR283" s="49"/>
    </row>
    <row r="284" spans="65:70" x14ac:dyDescent="0.25">
      <c r="BM284" s="49"/>
      <c r="BN284" s="49"/>
      <c r="BO284" s="49"/>
      <c r="BP284" s="49"/>
      <c r="BQ284" s="49"/>
      <c r="BR284" s="49"/>
    </row>
    <row r="285" spans="65:70" x14ac:dyDescent="0.25">
      <c r="BM285" s="49"/>
      <c r="BN285" s="49"/>
      <c r="BO285" s="49"/>
      <c r="BP285" s="49"/>
      <c r="BQ285" s="49"/>
      <c r="BR285" s="49"/>
    </row>
    <row r="286" spans="65:70" x14ac:dyDescent="0.25">
      <c r="BM286" s="49"/>
      <c r="BN286" s="49"/>
      <c r="BO286" s="49"/>
      <c r="BP286" s="49"/>
      <c r="BQ286" s="49"/>
      <c r="BR286" s="49"/>
    </row>
    <row r="287" spans="65:70" x14ac:dyDescent="0.25">
      <c r="BM287" s="49"/>
      <c r="BN287" s="49"/>
      <c r="BO287" s="49"/>
      <c r="BP287" s="49"/>
      <c r="BQ287" s="49"/>
      <c r="BR287" s="49"/>
    </row>
    <row r="288" spans="65:70" x14ac:dyDescent="0.25">
      <c r="BM288" s="49"/>
      <c r="BN288" s="49"/>
      <c r="BO288" s="49"/>
      <c r="BP288" s="49"/>
      <c r="BQ288" s="49"/>
      <c r="BR288" s="49"/>
    </row>
    <row r="289" spans="65:70" x14ac:dyDescent="0.25">
      <c r="BM289" s="49"/>
      <c r="BN289" s="49"/>
      <c r="BO289" s="49"/>
      <c r="BP289" s="49"/>
      <c r="BQ289" s="49"/>
      <c r="BR289" s="49"/>
    </row>
    <row r="290" spans="65:70" x14ac:dyDescent="0.25">
      <c r="BM290" s="49"/>
      <c r="BN290" s="49"/>
      <c r="BO290" s="49"/>
      <c r="BP290" s="49"/>
      <c r="BQ290" s="49"/>
      <c r="BR290" s="49"/>
    </row>
    <row r="291" spans="65:70" x14ac:dyDescent="0.25">
      <c r="BM291" s="49"/>
      <c r="BN291" s="49"/>
      <c r="BO291" s="49"/>
      <c r="BP291" s="49"/>
      <c r="BQ291" s="49"/>
      <c r="BR291" s="49"/>
    </row>
    <row r="292" spans="65:70" x14ac:dyDescent="0.25">
      <c r="BM292" s="49"/>
      <c r="BN292" s="49"/>
      <c r="BO292" s="49"/>
      <c r="BP292" s="49"/>
      <c r="BQ292" s="49"/>
      <c r="BR292" s="49"/>
    </row>
    <row r="293" spans="65:70" x14ac:dyDescent="0.25">
      <c r="BM293" s="49"/>
      <c r="BN293" s="49"/>
      <c r="BO293" s="49"/>
      <c r="BP293" s="49"/>
      <c r="BQ293" s="49"/>
      <c r="BR293" s="49"/>
    </row>
    <row r="294" spans="65:70" x14ac:dyDescent="0.25">
      <c r="BM294" s="49"/>
      <c r="BN294" s="49"/>
      <c r="BO294" s="49"/>
      <c r="BP294" s="49"/>
      <c r="BQ294" s="49"/>
      <c r="BR294" s="49"/>
    </row>
    <row r="295" spans="65:70" x14ac:dyDescent="0.25">
      <c r="BM295" s="49"/>
      <c r="BN295" s="49"/>
      <c r="BO295" s="49"/>
      <c r="BP295" s="49"/>
      <c r="BQ295" s="49"/>
      <c r="BR295" s="49"/>
    </row>
    <row r="296" spans="65:70" x14ac:dyDescent="0.25">
      <c r="BM296" s="49"/>
      <c r="BN296" s="49"/>
      <c r="BO296" s="49"/>
      <c r="BP296" s="49"/>
      <c r="BQ296" s="49"/>
      <c r="BR296" s="49"/>
    </row>
    <row r="297" spans="65:70" x14ac:dyDescent="0.25">
      <c r="BM297" s="49"/>
      <c r="BN297" s="49"/>
      <c r="BO297" s="49"/>
      <c r="BP297" s="49"/>
      <c r="BQ297" s="49"/>
      <c r="BR297" s="49"/>
    </row>
    <row r="298" spans="65:70" x14ac:dyDescent="0.25">
      <c r="BM298" s="49"/>
      <c r="BN298" s="49"/>
      <c r="BO298" s="49"/>
      <c r="BP298" s="49"/>
      <c r="BQ298" s="49"/>
      <c r="BR298" s="49"/>
    </row>
    <row r="299" spans="65:70" x14ac:dyDescent="0.25">
      <c r="BM299" s="49"/>
      <c r="BN299" s="49"/>
      <c r="BO299" s="49"/>
      <c r="BP299" s="49"/>
      <c r="BQ299" s="49"/>
      <c r="BR299" s="49"/>
    </row>
    <row r="300" spans="65:70" x14ac:dyDescent="0.25">
      <c r="BM300" s="49"/>
      <c r="BN300" s="49"/>
      <c r="BO300" s="49"/>
      <c r="BP300" s="49"/>
      <c r="BQ300" s="49"/>
      <c r="BR300" s="49"/>
    </row>
    <row r="301" spans="65:70" x14ac:dyDescent="0.25">
      <c r="BM301" s="49"/>
      <c r="BN301" s="49"/>
      <c r="BO301" s="49"/>
      <c r="BP301" s="49"/>
      <c r="BQ301" s="49"/>
      <c r="BR301" s="49"/>
    </row>
    <row r="302" spans="65:70" x14ac:dyDescent="0.25">
      <c r="BM302" s="49"/>
      <c r="BN302" s="49"/>
      <c r="BO302" s="49"/>
      <c r="BP302" s="49"/>
      <c r="BQ302" s="49"/>
      <c r="BR302" s="49"/>
    </row>
    <row r="303" spans="65:70" x14ac:dyDescent="0.25">
      <c r="BM303" s="49"/>
      <c r="BN303" s="49"/>
      <c r="BO303" s="49"/>
      <c r="BP303" s="49"/>
      <c r="BQ303" s="49"/>
      <c r="BR303" s="49"/>
    </row>
    <row r="304" spans="65:70" x14ac:dyDescent="0.25">
      <c r="BM304" s="49"/>
      <c r="BN304" s="49"/>
      <c r="BO304" s="49"/>
      <c r="BP304" s="49"/>
      <c r="BQ304" s="49"/>
      <c r="BR304" s="49"/>
    </row>
    <row r="305" spans="65:70" x14ac:dyDescent="0.25">
      <c r="BM305" s="49"/>
      <c r="BN305" s="49"/>
      <c r="BO305" s="49"/>
      <c r="BP305" s="49"/>
      <c r="BQ305" s="49"/>
      <c r="BR305" s="49"/>
    </row>
    <row r="306" spans="65:70" x14ac:dyDescent="0.25">
      <c r="BM306" s="49"/>
      <c r="BN306" s="49"/>
      <c r="BO306" s="49"/>
      <c r="BP306" s="49"/>
      <c r="BQ306" s="49"/>
      <c r="BR306" s="49"/>
    </row>
    <row r="307" spans="65:70" x14ac:dyDescent="0.25">
      <c r="BM307" s="49"/>
      <c r="BN307" s="49"/>
      <c r="BO307" s="49"/>
      <c r="BP307" s="49"/>
      <c r="BQ307" s="49"/>
      <c r="BR307" s="49"/>
    </row>
    <row r="308" spans="65:70" x14ac:dyDescent="0.25">
      <c r="BM308" s="49"/>
      <c r="BN308" s="49"/>
      <c r="BO308" s="49"/>
      <c r="BP308" s="49"/>
      <c r="BQ308" s="49"/>
      <c r="BR308" s="49"/>
    </row>
    <row r="309" spans="65:70" x14ac:dyDescent="0.25">
      <c r="BM309" s="49"/>
      <c r="BN309" s="49"/>
      <c r="BO309" s="49"/>
      <c r="BP309" s="49"/>
      <c r="BQ309" s="49"/>
      <c r="BR309" s="49"/>
    </row>
    <row r="310" spans="65:70" x14ac:dyDescent="0.25">
      <c r="BM310" s="49"/>
      <c r="BN310" s="49"/>
      <c r="BO310" s="49"/>
      <c r="BP310" s="49"/>
      <c r="BQ310" s="49"/>
      <c r="BR310" s="49"/>
    </row>
    <row r="311" spans="65:70" x14ac:dyDescent="0.25">
      <c r="BM311" s="49"/>
      <c r="BN311" s="49"/>
      <c r="BO311" s="49"/>
      <c r="BP311" s="49"/>
      <c r="BQ311" s="49"/>
      <c r="BR311" s="49"/>
    </row>
    <row r="312" spans="65:70" x14ac:dyDescent="0.25">
      <c r="BM312" s="49"/>
      <c r="BN312" s="49"/>
      <c r="BO312" s="49"/>
      <c r="BP312" s="49"/>
      <c r="BQ312" s="49"/>
      <c r="BR312" s="49"/>
    </row>
    <row r="313" spans="65:70" x14ac:dyDescent="0.25">
      <c r="BM313" s="49"/>
      <c r="BN313" s="49"/>
      <c r="BO313" s="49"/>
      <c r="BP313" s="49"/>
      <c r="BQ313" s="49"/>
      <c r="BR313" s="49"/>
    </row>
    <row r="314" spans="65:70" x14ac:dyDescent="0.25">
      <c r="BM314" s="49"/>
      <c r="BN314" s="49"/>
      <c r="BO314" s="49"/>
      <c r="BP314" s="49"/>
      <c r="BQ314" s="49"/>
      <c r="BR314" s="49"/>
    </row>
    <row r="315" spans="65:70" x14ac:dyDescent="0.25">
      <c r="BM315" s="49"/>
      <c r="BN315" s="49"/>
      <c r="BO315" s="49"/>
      <c r="BP315" s="49"/>
      <c r="BQ315" s="49"/>
      <c r="BR315" s="49"/>
    </row>
    <row r="316" spans="65:70" x14ac:dyDescent="0.25">
      <c r="BM316" s="49"/>
      <c r="BN316" s="49"/>
      <c r="BO316" s="49"/>
      <c r="BP316" s="49"/>
      <c r="BQ316" s="49"/>
      <c r="BR316" s="49"/>
    </row>
    <row r="317" spans="65:70" x14ac:dyDescent="0.25">
      <c r="BM317" s="49"/>
      <c r="BN317" s="49"/>
      <c r="BO317" s="49"/>
      <c r="BP317" s="49"/>
      <c r="BQ317" s="49"/>
      <c r="BR317" s="49"/>
    </row>
    <row r="318" spans="65:70" x14ac:dyDescent="0.25">
      <c r="BM318" s="49"/>
      <c r="BN318" s="49"/>
      <c r="BO318" s="49"/>
      <c r="BP318" s="49"/>
      <c r="BQ318" s="49"/>
      <c r="BR318" s="49"/>
    </row>
    <row r="319" spans="65:70" x14ac:dyDescent="0.25">
      <c r="BM319" s="49"/>
      <c r="BN319" s="49"/>
      <c r="BO319" s="49"/>
      <c r="BP319" s="49"/>
      <c r="BQ319" s="49"/>
      <c r="BR319" s="49"/>
    </row>
    <row r="320" spans="65:70" x14ac:dyDescent="0.25">
      <c r="BM320" s="49"/>
      <c r="BN320" s="49"/>
      <c r="BO320" s="49"/>
      <c r="BP320" s="49"/>
      <c r="BQ320" s="49"/>
      <c r="BR320" s="49"/>
    </row>
    <row r="321" spans="65:70" x14ac:dyDescent="0.25">
      <c r="BM321" s="49"/>
      <c r="BN321" s="49"/>
      <c r="BO321" s="49"/>
      <c r="BP321" s="49"/>
      <c r="BQ321" s="49"/>
      <c r="BR321" s="49"/>
    </row>
    <row r="322" spans="65:70" x14ac:dyDescent="0.25">
      <c r="BM322" s="49"/>
      <c r="BN322" s="49"/>
      <c r="BO322" s="49"/>
      <c r="BP322" s="49"/>
      <c r="BQ322" s="49"/>
      <c r="BR322" s="49"/>
    </row>
    <row r="323" spans="65:70" x14ac:dyDescent="0.25">
      <c r="BM323" s="49"/>
      <c r="BN323" s="49"/>
      <c r="BO323" s="49"/>
      <c r="BP323" s="49"/>
      <c r="BQ323" s="49"/>
      <c r="BR323" s="49"/>
    </row>
    <row r="324" spans="65:70" x14ac:dyDescent="0.25">
      <c r="BM324" s="49"/>
      <c r="BN324" s="49"/>
      <c r="BO324" s="49"/>
      <c r="BP324" s="49"/>
      <c r="BQ324" s="49"/>
      <c r="BR324" s="49"/>
    </row>
    <row r="325" spans="65:70" x14ac:dyDescent="0.25">
      <c r="BM325" s="49"/>
      <c r="BN325" s="49"/>
      <c r="BO325" s="49"/>
      <c r="BP325" s="49"/>
      <c r="BQ325" s="49"/>
      <c r="BR325" s="49"/>
    </row>
    <row r="326" spans="65:70" x14ac:dyDescent="0.25">
      <c r="BM326" s="49"/>
      <c r="BN326" s="49"/>
      <c r="BO326" s="49"/>
      <c r="BP326" s="49"/>
      <c r="BQ326" s="49"/>
      <c r="BR326" s="49"/>
    </row>
    <row r="327" spans="65:70" x14ac:dyDescent="0.25">
      <c r="BM327" s="49"/>
      <c r="BN327" s="49"/>
      <c r="BO327" s="49"/>
      <c r="BP327" s="49"/>
      <c r="BQ327" s="49"/>
      <c r="BR327" s="49"/>
    </row>
    <row r="328" spans="65:70" x14ac:dyDescent="0.25">
      <c r="BM328" s="49"/>
      <c r="BN328" s="49"/>
      <c r="BO328" s="49"/>
      <c r="BP328" s="49"/>
      <c r="BQ328" s="49"/>
      <c r="BR328" s="49"/>
    </row>
    <row r="329" spans="65:70" x14ac:dyDescent="0.25">
      <c r="BM329" s="49"/>
      <c r="BN329" s="49"/>
      <c r="BO329" s="49"/>
      <c r="BP329" s="49"/>
      <c r="BQ329" s="49"/>
      <c r="BR329" s="49"/>
    </row>
    <row r="330" spans="65:70" x14ac:dyDescent="0.25">
      <c r="BM330" s="49"/>
      <c r="BN330" s="49"/>
      <c r="BO330" s="49"/>
      <c r="BP330" s="49"/>
      <c r="BQ330" s="49"/>
      <c r="BR330" s="49"/>
    </row>
    <row r="331" spans="65:70" x14ac:dyDescent="0.25">
      <c r="BM331" s="49"/>
      <c r="BN331" s="49"/>
      <c r="BO331" s="49"/>
      <c r="BP331" s="49"/>
      <c r="BQ331" s="49"/>
      <c r="BR331" s="49"/>
    </row>
    <row r="332" spans="65:70" x14ac:dyDescent="0.25">
      <c r="BM332" s="49"/>
      <c r="BN332" s="49"/>
      <c r="BO332" s="49"/>
      <c r="BP332" s="49"/>
      <c r="BQ332" s="49"/>
      <c r="BR332" s="49"/>
    </row>
    <row r="333" spans="65:70" x14ac:dyDescent="0.25">
      <c r="BM333" s="49"/>
      <c r="BN333" s="49"/>
      <c r="BO333" s="49"/>
      <c r="BP333" s="49"/>
      <c r="BQ333" s="49"/>
      <c r="BR333" s="49"/>
    </row>
    <row r="334" spans="65:70" x14ac:dyDescent="0.25">
      <c r="BM334" s="49"/>
      <c r="BN334" s="49"/>
      <c r="BO334" s="49"/>
      <c r="BP334" s="49"/>
      <c r="BQ334" s="49"/>
      <c r="BR334" s="49"/>
    </row>
    <row r="335" spans="65:70" x14ac:dyDescent="0.25">
      <c r="BM335" s="49"/>
      <c r="BN335" s="49"/>
      <c r="BO335" s="49"/>
      <c r="BP335" s="49"/>
      <c r="BQ335" s="49"/>
      <c r="BR335" s="49"/>
    </row>
    <row r="336" spans="65:70" x14ac:dyDescent="0.25">
      <c r="BM336" s="49"/>
      <c r="BN336" s="49"/>
      <c r="BO336" s="49"/>
      <c r="BP336" s="49"/>
      <c r="BQ336" s="49"/>
      <c r="BR336" s="49"/>
    </row>
    <row r="337" spans="65:70" x14ac:dyDescent="0.25">
      <c r="BM337" s="49"/>
      <c r="BN337" s="49"/>
      <c r="BO337" s="49"/>
      <c r="BP337" s="49"/>
      <c r="BQ337" s="49"/>
      <c r="BR337" s="49"/>
    </row>
    <row r="338" spans="65:70" x14ac:dyDescent="0.25">
      <c r="BM338" s="49"/>
      <c r="BN338" s="49"/>
      <c r="BO338" s="49"/>
      <c r="BP338" s="49"/>
      <c r="BQ338" s="49"/>
      <c r="BR338" s="49"/>
    </row>
    <row r="339" spans="65:70" x14ac:dyDescent="0.25">
      <c r="BM339" s="49"/>
      <c r="BN339" s="49"/>
      <c r="BO339" s="49"/>
      <c r="BP339" s="49"/>
      <c r="BQ339" s="49"/>
      <c r="BR339" s="49"/>
    </row>
    <row r="340" spans="65:70" x14ac:dyDescent="0.25">
      <c r="BM340" s="49"/>
      <c r="BN340" s="49"/>
      <c r="BO340" s="49"/>
      <c r="BP340" s="49"/>
      <c r="BQ340" s="49"/>
      <c r="BR340" s="49"/>
    </row>
    <row r="341" spans="65:70" x14ac:dyDescent="0.25">
      <c r="BM341" s="49"/>
      <c r="BN341" s="49"/>
      <c r="BO341" s="49"/>
      <c r="BP341" s="49"/>
      <c r="BQ341" s="49"/>
      <c r="BR341" s="49"/>
    </row>
    <row r="342" spans="65:70" x14ac:dyDescent="0.25">
      <c r="BM342" s="49"/>
      <c r="BN342" s="49"/>
      <c r="BO342" s="49"/>
      <c r="BP342" s="49"/>
      <c r="BQ342" s="49"/>
      <c r="BR342" s="49"/>
    </row>
    <row r="343" spans="65:70" x14ac:dyDescent="0.25">
      <c r="BM343" s="49"/>
      <c r="BN343" s="49"/>
      <c r="BO343" s="49"/>
      <c r="BP343" s="49"/>
      <c r="BQ343" s="49"/>
      <c r="BR343" s="49"/>
    </row>
    <row r="344" spans="65:70" x14ac:dyDescent="0.25">
      <c r="BM344" s="49"/>
      <c r="BN344" s="49"/>
      <c r="BO344" s="49"/>
      <c r="BP344" s="49"/>
      <c r="BQ344" s="49"/>
      <c r="BR344" s="49"/>
    </row>
    <row r="345" spans="65:70" x14ac:dyDescent="0.25">
      <c r="BM345" s="49"/>
      <c r="BN345" s="49"/>
      <c r="BO345" s="49"/>
      <c r="BP345" s="49"/>
      <c r="BQ345" s="49"/>
      <c r="BR345" s="49"/>
    </row>
    <row r="346" spans="65:70" x14ac:dyDescent="0.25">
      <c r="BM346" s="49"/>
      <c r="BN346" s="49"/>
      <c r="BO346" s="49"/>
      <c r="BP346" s="49"/>
      <c r="BQ346" s="49"/>
      <c r="BR346" s="49"/>
    </row>
    <row r="347" spans="65:70" x14ac:dyDescent="0.25">
      <c r="BM347" s="49"/>
      <c r="BN347" s="49"/>
      <c r="BO347" s="49"/>
      <c r="BP347" s="49"/>
      <c r="BQ347" s="49"/>
      <c r="BR347" s="49"/>
    </row>
    <row r="348" spans="65:70" x14ac:dyDescent="0.25">
      <c r="BM348" s="49"/>
      <c r="BN348" s="49"/>
      <c r="BO348" s="49"/>
      <c r="BP348" s="49"/>
      <c r="BQ348" s="49"/>
      <c r="BR348" s="49"/>
    </row>
    <row r="349" spans="65:70" x14ac:dyDescent="0.25">
      <c r="BM349" s="49"/>
      <c r="BN349" s="49"/>
      <c r="BO349" s="49"/>
      <c r="BP349" s="49"/>
      <c r="BQ349" s="49"/>
      <c r="BR349" s="49"/>
    </row>
    <row r="350" spans="65:70" x14ac:dyDescent="0.25">
      <c r="BM350" s="49"/>
      <c r="BN350" s="49"/>
      <c r="BO350" s="49"/>
      <c r="BP350" s="49"/>
      <c r="BQ350" s="49"/>
      <c r="BR350" s="49"/>
    </row>
    <row r="351" spans="65:70" x14ac:dyDescent="0.25">
      <c r="BM351" s="49"/>
      <c r="BN351" s="49"/>
      <c r="BO351" s="49"/>
      <c r="BP351" s="49"/>
      <c r="BQ351" s="49"/>
      <c r="BR351" s="49"/>
    </row>
    <row r="352" spans="65:70" x14ac:dyDescent="0.25">
      <c r="BM352" s="49"/>
      <c r="BN352" s="49"/>
      <c r="BO352" s="49"/>
      <c r="BP352" s="49"/>
      <c r="BQ352" s="49"/>
      <c r="BR352" s="49"/>
    </row>
    <row r="353" spans="65:70" x14ac:dyDescent="0.25">
      <c r="BM353" s="49"/>
      <c r="BN353" s="49"/>
      <c r="BO353" s="49"/>
      <c r="BP353" s="49"/>
      <c r="BQ353" s="49"/>
      <c r="BR353" s="49"/>
    </row>
    <row r="354" spans="65:70" x14ac:dyDescent="0.25">
      <c r="BM354" s="49"/>
      <c r="BN354" s="49"/>
      <c r="BO354" s="49"/>
      <c r="BP354" s="49"/>
      <c r="BQ354" s="49"/>
      <c r="BR354" s="49"/>
    </row>
    <row r="355" spans="65:70" x14ac:dyDescent="0.25">
      <c r="BM355" s="49"/>
      <c r="BN355" s="49"/>
      <c r="BO355" s="49"/>
      <c r="BP355" s="49"/>
      <c r="BQ355" s="49"/>
      <c r="BR355" s="49"/>
    </row>
    <row r="356" spans="65:70" x14ac:dyDescent="0.25">
      <c r="BM356" s="49"/>
      <c r="BN356" s="49"/>
      <c r="BO356" s="49"/>
      <c r="BP356" s="49"/>
      <c r="BQ356" s="49"/>
      <c r="BR356" s="49"/>
    </row>
    <row r="357" spans="65:70" x14ac:dyDescent="0.25">
      <c r="BM357" s="49"/>
      <c r="BN357" s="49"/>
      <c r="BO357" s="49"/>
      <c r="BP357" s="49"/>
      <c r="BQ357" s="49"/>
      <c r="BR357" s="49"/>
    </row>
    <row r="358" spans="65:70" x14ac:dyDescent="0.25">
      <c r="BM358" s="49"/>
      <c r="BN358" s="49"/>
      <c r="BO358" s="49"/>
      <c r="BP358" s="49"/>
      <c r="BQ358" s="49"/>
      <c r="BR358" s="49"/>
    </row>
    <row r="359" spans="65:70" x14ac:dyDescent="0.25">
      <c r="BM359" s="49"/>
      <c r="BN359" s="49"/>
      <c r="BO359" s="49"/>
      <c r="BP359" s="49"/>
      <c r="BQ359" s="49"/>
      <c r="BR359" s="49"/>
    </row>
    <row r="360" spans="65:70" x14ac:dyDescent="0.25">
      <c r="BM360" s="49"/>
      <c r="BN360" s="49"/>
      <c r="BO360" s="49"/>
      <c r="BP360" s="49"/>
      <c r="BQ360" s="49"/>
      <c r="BR360" s="49"/>
    </row>
    <row r="361" spans="65:70" x14ac:dyDescent="0.25">
      <c r="BM361" s="49"/>
      <c r="BN361" s="49"/>
      <c r="BO361" s="49"/>
      <c r="BP361" s="49"/>
      <c r="BQ361" s="49"/>
      <c r="BR361" s="49"/>
    </row>
    <row r="362" spans="65:70" x14ac:dyDescent="0.25">
      <c r="BM362" s="49"/>
      <c r="BN362" s="49"/>
      <c r="BO362" s="49"/>
      <c r="BP362" s="49"/>
      <c r="BQ362" s="49"/>
      <c r="BR362" s="49"/>
    </row>
    <row r="363" spans="65:70" x14ac:dyDescent="0.25">
      <c r="BM363" s="49"/>
      <c r="BN363" s="49"/>
      <c r="BO363" s="49"/>
      <c r="BP363" s="49"/>
      <c r="BQ363" s="49"/>
      <c r="BR363" s="49"/>
    </row>
    <row r="364" spans="65:70" x14ac:dyDescent="0.25">
      <c r="BM364" s="49"/>
      <c r="BN364" s="49"/>
      <c r="BO364" s="49"/>
      <c r="BP364" s="49"/>
      <c r="BQ364" s="49"/>
      <c r="BR364" s="49"/>
    </row>
    <row r="365" spans="65:70" x14ac:dyDescent="0.25">
      <c r="BM365" s="49"/>
      <c r="BN365" s="49"/>
      <c r="BO365" s="49"/>
      <c r="BP365" s="49"/>
      <c r="BQ365" s="49"/>
      <c r="BR365" s="49"/>
    </row>
    <row r="366" spans="65:70" x14ac:dyDescent="0.25">
      <c r="BM366" s="49"/>
      <c r="BN366" s="49"/>
      <c r="BO366" s="49"/>
      <c r="BP366" s="49"/>
      <c r="BQ366" s="49"/>
      <c r="BR366" s="49"/>
    </row>
    <row r="367" spans="65:70" x14ac:dyDescent="0.25">
      <c r="BM367" s="49"/>
      <c r="BN367" s="49"/>
      <c r="BO367" s="49"/>
      <c r="BP367" s="49"/>
      <c r="BQ367" s="49"/>
      <c r="BR367" s="49"/>
    </row>
    <row r="368" spans="65:70" x14ac:dyDescent="0.25">
      <c r="BM368" s="49"/>
      <c r="BN368" s="49"/>
      <c r="BO368" s="49"/>
      <c r="BP368" s="49"/>
      <c r="BQ368" s="49"/>
      <c r="BR368" s="49"/>
    </row>
    <row r="369" spans="65:70" x14ac:dyDescent="0.25">
      <c r="BM369" s="49"/>
      <c r="BN369" s="49"/>
      <c r="BO369" s="49"/>
      <c r="BP369" s="49"/>
      <c r="BQ369" s="49"/>
      <c r="BR369" s="49"/>
    </row>
    <row r="370" spans="65:70" x14ac:dyDescent="0.25">
      <c r="BM370" s="49"/>
      <c r="BN370" s="49"/>
      <c r="BO370" s="49"/>
      <c r="BP370" s="49"/>
      <c r="BQ370" s="49"/>
      <c r="BR370" s="49"/>
    </row>
    <row r="371" spans="65:70" x14ac:dyDescent="0.25">
      <c r="BM371" s="49"/>
      <c r="BN371" s="49"/>
      <c r="BO371" s="49"/>
      <c r="BP371" s="49"/>
      <c r="BQ371" s="49"/>
      <c r="BR371" s="49"/>
    </row>
    <row r="372" spans="65:70" x14ac:dyDescent="0.25">
      <c r="BM372" s="49"/>
      <c r="BN372" s="49"/>
      <c r="BO372" s="49"/>
      <c r="BP372" s="49"/>
      <c r="BQ372" s="49"/>
      <c r="BR372" s="49"/>
    </row>
    <row r="373" spans="65:70" x14ac:dyDescent="0.25">
      <c r="BM373" s="49"/>
      <c r="BN373" s="49"/>
      <c r="BO373" s="49"/>
      <c r="BP373" s="49"/>
      <c r="BQ373" s="49"/>
      <c r="BR373" s="49"/>
    </row>
    <row r="374" spans="65:70" x14ac:dyDescent="0.25">
      <c r="BM374" s="49"/>
      <c r="BN374" s="49"/>
      <c r="BO374" s="49"/>
      <c r="BP374" s="49"/>
      <c r="BQ374" s="49"/>
      <c r="BR374" s="49"/>
    </row>
    <row r="375" spans="65:70" x14ac:dyDescent="0.25">
      <c r="BM375" s="49"/>
      <c r="BN375" s="49"/>
      <c r="BO375" s="49"/>
      <c r="BP375" s="49"/>
      <c r="BQ375" s="49"/>
      <c r="BR375" s="49"/>
    </row>
    <row r="376" spans="65:70" x14ac:dyDescent="0.25">
      <c r="BM376" s="49"/>
      <c r="BN376" s="49"/>
      <c r="BO376" s="49"/>
      <c r="BP376" s="49"/>
      <c r="BQ376" s="49"/>
      <c r="BR376" s="49"/>
    </row>
    <row r="377" spans="65:70" x14ac:dyDescent="0.25">
      <c r="BM377" s="49"/>
      <c r="BN377" s="49"/>
      <c r="BO377" s="49"/>
      <c r="BP377" s="49"/>
      <c r="BQ377" s="49"/>
      <c r="BR377" s="49"/>
    </row>
    <row r="378" spans="65:70" x14ac:dyDescent="0.25">
      <c r="BM378" s="49"/>
      <c r="BN378" s="49"/>
      <c r="BO378" s="49"/>
      <c r="BP378" s="49"/>
      <c r="BQ378" s="49"/>
      <c r="BR378" s="49"/>
    </row>
    <row r="379" spans="65:70" x14ac:dyDescent="0.25">
      <c r="BM379" s="49"/>
      <c r="BN379" s="49"/>
      <c r="BO379" s="49"/>
      <c r="BP379" s="49"/>
      <c r="BQ379" s="49"/>
      <c r="BR379" s="49"/>
    </row>
    <row r="380" spans="65:70" x14ac:dyDescent="0.25">
      <c r="BM380" s="49"/>
      <c r="BN380" s="49"/>
      <c r="BO380" s="49"/>
      <c r="BP380" s="49"/>
      <c r="BQ380" s="49"/>
      <c r="BR380" s="49"/>
    </row>
    <row r="381" spans="65:70" x14ac:dyDescent="0.25">
      <c r="BM381" s="49"/>
      <c r="BN381" s="49"/>
      <c r="BO381" s="49"/>
      <c r="BP381" s="49"/>
      <c r="BQ381" s="49"/>
      <c r="BR381" s="49"/>
    </row>
    <row r="382" spans="65:70" x14ac:dyDescent="0.25">
      <c r="BM382" s="49"/>
      <c r="BN382" s="49"/>
      <c r="BO382" s="49"/>
      <c r="BP382" s="49"/>
      <c r="BQ382" s="49"/>
      <c r="BR382" s="49"/>
    </row>
    <row r="383" spans="65:70" x14ac:dyDescent="0.25">
      <c r="BM383" s="49"/>
      <c r="BN383" s="49"/>
      <c r="BO383" s="49"/>
      <c r="BP383" s="49"/>
      <c r="BQ383" s="49"/>
      <c r="BR383" s="49"/>
    </row>
    <row r="384" spans="65:70" x14ac:dyDescent="0.25">
      <c r="BM384" s="49"/>
      <c r="BN384" s="49"/>
      <c r="BO384" s="49"/>
      <c r="BP384" s="49"/>
      <c r="BQ384" s="49"/>
      <c r="BR384" s="49"/>
    </row>
    <row r="385" spans="65:70" x14ac:dyDescent="0.25">
      <c r="BM385" s="49"/>
      <c r="BN385" s="49"/>
      <c r="BO385" s="49"/>
      <c r="BP385" s="49"/>
      <c r="BQ385" s="49"/>
      <c r="BR385" s="49"/>
    </row>
    <row r="386" spans="65:70" x14ac:dyDescent="0.25">
      <c r="BM386" s="49"/>
      <c r="BN386" s="49"/>
      <c r="BO386" s="49"/>
      <c r="BP386" s="49"/>
      <c r="BQ386" s="49"/>
      <c r="BR386" s="49"/>
    </row>
    <row r="387" spans="65:70" x14ac:dyDescent="0.25">
      <c r="BM387" s="49"/>
      <c r="BN387" s="49"/>
      <c r="BO387" s="49"/>
      <c r="BP387" s="49"/>
      <c r="BQ387" s="49"/>
      <c r="BR387" s="49"/>
    </row>
    <row r="388" spans="65:70" x14ac:dyDescent="0.25">
      <c r="BM388" s="49"/>
      <c r="BN388" s="49"/>
      <c r="BO388" s="49"/>
      <c r="BP388" s="49"/>
      <c r="BQ388" s="49"/>
      <c r="BR388" s="49"/>
    </row>
    <row r="389" spans="65:70" x14ac:dyDescent="0.25">
      <c r="BM389" s="49"/>
      <c r="BN389" s="49"/>
      <c r="BO389" s="49"/>
      <c r="BP389" s="49"/>
      <c r="BQ389" s="49"/>
      <c r="BR389" s="49"/>
    </row>
    <row r="390" spans="65:70" x14ac:dyDescent="0.25">
      <c r="BM390" s="49"/>
      <c r="BN390" s="49"/>
      <c r="BO390" s="49"/>
      <c r="BP390" s="49"/>
      <c r="BQ390" s="49"/>
      <c r="BR390" s="49"/>
    </row>
    <row r="391" spans="65:70" x14ac:dyDescent="0.25">
      <c r="BM391" s="49"/>
      <c r="BN391" s="49"/>
      <c r="BO391" s="49"/>
      <c r="BP391" s="49"/>
      <c r="BQ391" s="49"/>
      <c r="BR391" s="49"/>
    </row>
    <row r="392" spans="65:70" x14ac:dyDescent="0.25">
      <c r="BM392" s="49"/>
      <c r="BN392" s="49"/>
      <c r="BO392" s="49"/>
      <c r="BP392" s="49"/>
      <c r="BQ392" s="49"/>
      <c r="BR392" s="49"/>
    </row>
    <row r="393" spans="65:70" x14ac:dyDescent="0.25">
      <c r="BM393" s="49"/>
      <c r="BN393" s="49"/>
      <c r="BO393" s="49"/>
      <c r="BP393" s="49"/>
      <c r="BQ393" s="49"/>
      <c r="BR393" s="49"/>
    </row>
    <row r="394" spans="65:70" x14ac:dyDescent="0.25">
      <c r="BM394" s="49"/>
      <c r="BN394" s="49"/>
      <c r="BO394" s="49"/>
      <c r="BP394" s="49"/>
      <c r="BQ394" s="49"/>
      <c r="BR394" s="49"/>
    </row>
    <row r="395" spans="65:70" x14ac:dyDescent="0.25">
      <c r="BM395" s="49"/>
      <c r="BN395" s="49"/>
      <c r="BO395" s="49"/>
      <c r="BP395" s="49"/>
      <c r="BQ395" s="49"/>
      <c r="BR395" s="49"/>
    </row>
    <row r="396" spans="65:70" x14ac:dyDescent="0.25">
      <c r="BM396" s="49"/>
      <c r="BN396" s="49"/>
      <c r="BO396" s="49"/>
      <c r="BP396" s="49"/>
      <c r="BQ396" s="49"/>
      <c r="BR396" s="49"/>
    </row>
    <row r="397" spans="65:70" x14ac:dyDescent="0.25">
      <c r="BM397" s="49"/>
      <c r="BN397" s="49"/>
      <c r="BO397" s="49"/>
      <c r="BP397" s="49"/>
      <c r="BQ397" s="49"/>
      <c r="BR397" s="49"/>
    </row>
    <row r="398" spans="65:70" x14ac:dyDescent="0.25">
      <c r="BM398" s="49"/>
      <c r="BN398" s="49"/>
      <c r="BO398" s="49"/>
      <c r="BP398" s="49"/>
      <c r="BQ398" s="49"/>
      <c r="BR398" s="49"/>
    </row>
    <row r="399" spans="65:70" x14ac:dyDescent="0.25">
      <c r="BM399" s="49"/>
      <c r="BN399" s="49"/>
      <c r="BO399" s="49"/>
      <c r="BP399" s="49"/>
      <c r="BQ399" s="49"/>
      <c r="BR399" s="49"/>
    </row>
    <row r="400" spans="65:70" x14ac:dyDescent="0.25">
      <c r="BM400" s="49"/>
      <c r="BN400" s="49"/>
      <c r="BO400" s="49"/>
      <c r="BP400" s="49"/>
      <c r="BQ400" s="49"/>
      <c r="BR400" s="49"/>
    </row>
    <row r="401" spans="65:70" x14ac:dyDescent="0.25">
      <c r="BM401" s="49"/>
      <c r="BN401" s="49"/>
      <c r="BO401" s="49"/>
      <c r="BP401" s="49"/>
      <c r="BQ401" s="49"/>
      <c r="BR401" s="49"/>
    </row>
    <row r="402" spans="65:70" x14ac:dyDescent="0.25">
      <c r="BM402" s="49"/>
      <c r="BN402" s="49"/>
      <c r="BO402" s="49"/>
      <c r="BP402" s="49"/>
      <c r="BQ402" s="49"/>
      <c r="BR402" s="49"/>
    </row>
    <row r="403" spans="65:70" x14ac:dyDescent="0.25">
      <c r="BM403" s="49"/>
      <c r="BN403" s="49"/>
      <c r="BO403" s="49"/>
      <c r="BP403" s="49"/>
      <c r="BQ403" s="49"/>
      <c r="BR403" s="49"/>
    </row>
    <row r="404" spans="65:70" x14ac:dyDescent="0.25">
      <c r="BM404" s="49"/>
      <c r="BN404" s="49"/>
      <c r="BO404" s="49"/>
      <c r="BP404" s="49"/>
      <c r="BQ404" s="49"/>
      <c r="BR404" s="49"/>
    </row>
    <row r="405" spans="65:70" x14ac:dyDescent="0.25">
      <c r="BM405" s="49"/>
      <c r="BN405" s="49"/>
      <c r="BO405" s="49"/>
      <c r="BP405" s="49"/>
      <c r="BQ405" s="49"/>
      <c r="BR405" s="49"/>
    </row>
    <row r="406" spans="65:70" x14ac:dyDescent="0.25">
      <c r="BM406" s="49"/>
      <c r="BN406" s="49"/>
      <c r="BO406" s="49"/>
      <c r="BP406" s="49"/>
      <c r="BQ406" s="49"/>
      <c r="BR406" s="49"/>
    </row>
    <row r="407" spans="65:70" x14ac:dyDescent="0.25">
      <c r="BM407" s="49"/>
      <c r="BN407" s="49"/>
      <c r="BO407" s="49"/>
      <c r="BP407" s="49"/>
      <c r="BQ407" s="49"/>
      <c r="BR407" s="49"/>
    </row>
    <row r="408" spans="65:70" x14ac:dyDescent="0.25">
      <c r="BM408" s="49"/>
      <c r="BN408" s="49"/>
      <c r="BO408" s="49"/>
      <c r="BP408" s="49"/>
      <c r="BQ408" s="49"/>
      <c r="BR408" s="49"/>
    </row>
    <row r="409" spans="65:70" x14ac:dyDescent="0.25">
      <c r="BM409" s="49"/>
      <c r="BN409" s="49"/>
      <c r="BO409" s="49"/>
      <c r="BP409" s="49"/>
      <c r="BQ409" s="49"/>
      <c r="BR409" s="49"/>
    </row>
    <row r="410" spans="65:70" x14ac:dyDescent="0.25">
      <c r="BM410" s="49"/>
      <c r="BN410" s="49"/>
      <c r="BO410" s="49"/>
      <c r="BP410" s="49"/>
      <c r="BQ410" s="49"/>
      <c r="BR410" s="49"/>
    </row>
    <row r="411" spans="65:70" x14ac:dyDescent="0.25">
      <c r="BM411" s="49"/>
      <c r="BN411" s="49"/>
      <c r="BO411" s="49"/>
      <c r="BP411" s="49"/>
      <c r="BQ411" s="49"/>
      <c r="BR411" s="49"/>
    </row>
    <row r="412" spans="65:70" x14ac:dyDescent="0.25">
      <c r="BM412" s="49"/>
      <c r="BN412" s="49"/>
      <c r="BO412" s="49"/>
      <c r="BP412" s="49"/>
      <c r="BQ412" s="49"/>
      <c r="BR412" s="49"/>
    </row>
    <row r="413" spans="65:70" x14ac:dyDescent="0.25">
      <c r="BM413" s="49"/>
      <c r="BN413" s="49"/>
      <c r="BO413" s="49"/>
      <c r="BP413" s="49"/>
      <c r="BQ413" s="49"/>
      <c r="BR413" s="49"/>
    </row>
    <row r="414" spans="65:70" x14ac:dyDescent="0.25">
      <c r="BM414" s="49"/>
      <c r="BN414" s="49"/>
      <c r="BO414" s="49"/>
      <c r="BP414" s="49"/>
      <c r="BQ414" s="49"/>
      <c r="BR414" s="49"/>
    </row>
    <row r="415" spans="65:70" x14ac:dyDescent="0.25">
      <c r="BM415" s="49"/>
      <c r="BN415" s="49"/>
      <c r="BO415" s="49"/>
      <c r="BP415" s="49"/>
      <c r="BQ415" s="49"/>
      <c r="BR415" s="49"/>
    </row>
    <row r="416" spans="65:70" x14ac:dyDescent="0.25">
      <c r="BM416" s="49"/>
      <c r="BN416" s="49"/>
      <c r="BO416" s="49"/>
      <c r="BP416" s="49"/>
      <c r="BQ416" s="49"/>
      <c r="BR416" s="49"/>
    </row>
    <row r="417" spans="65:70" x14ac:dyDescent="0.25">
      <c r="BM417" s="49"/>
      <c r="BN417" s="49"/>
      <c r="BO417" s="49"/>
      <c r="BP417" s="49"/>
      <c r="BQ417" s="49"/>
      <c r="BR417" s="49"/>
    </row>
    <row r="418" spans="65:70" x14ac:dyDescent="0.25">
      <c r="BM418" s="49"/>
      <c r="BN418" s="49"/>
      <c r="BO418" s="49"/>
      <c r="BP418" s="49"/>
      <c r="BQ418" s="49"/>
      <c r="BR418" s="49"/>
    </row>
    <row r="419" spans="65:70" x14ac:dyDescent="0.25">
      <c r="BM419" s="49"/>
      <c r="BN419" s="49"/>
      <c r="BO419" s="49"/>
      <c r="BP419" s="49"/>
      <c r="BQ419" s="49"/>
      <c r="BR419" s="49"/>
    </row>
    <row r="420" spans="65:70" x14ac:dyDescent="0.25">
      <c r="BM420" s="49"/>
      <c r="BN420" s="49"/>
      <c r="BO420" s="49"/>
      <c r="BP420" s="49"/>
      <c r="BQ420" s="49"/>
      <c r="BR420" s="49"/>
    </row>
    <row r="421" spans="65:70" x14ac:dyDescent="0.25">
      <c r="BM421" s="49"/>
      <c r="BN421" s="49"/>
      <c r="BO421" s="49"/>
      <c r="BP421" s="49"/>
      <c r="BQ421" s="49"/>
      <c r="BR421" s="49"/>
    </row>
    <row r="422" spans="65:70" x14ac:dyDescent="0.25">
      <c r="BM422" s="49"/>
      <c r="BN422" s="49"/>
      <c r="BO422" s="49"/>
      <c r="BP422" s="49"/>
      <c r="BQ422" s="49"/>
      <c r="BR422" s="49"/>
    </row>
    <row r="423" spans="65:70" x14ac:dyDescent="0.25">
      <c r="BM423" s="49"/>
      <c r="BN423" s="49"/>
      <c r="BO423" s="49"/>
      <c r="BP423" s="49"/>
      <c r="BQ423" s="49"/>
      <c r="BR423" s="49"/>
    </row>
    <row r="424" spans="65:70" x14ac:dyDescent="0.25">
      <c r="BM424" s="49"/>
      <c r="BN424" s="49"/>
      <c r="BO424" s="49"/>
      <c r="BP424" s="49"/>
      <c r="BQ424" s="49"/>
      <c r="BR424" s="49"/>
    </row>
    <row r="425" spans="65:70" x14ac:dyDescent="0.25">
      <c r="BM425" s="49"/>
      <c r="BN425" s="49"/>
      <c r="BO425" s="49"/>
      <c r="BP425" s="49"/>
      <c r="BQ425" s="49"/>
      <c r="BR425" s="49"/>
    </row>
    <row r="426" spans="65:70" x14ac:dyDescent="0.25">
      <c r="BM426" s="49"/>
      <c r="BN426" s="49"/>
      <c r="BO426" s="49"/>
      <c r="BP426" s="49"/>
      <c r="BQ426" s="49"/>
      <c r="BR426" s="49"/>
    </row>
    <row r="427" spans="65:70" x14ac:dyDescent="0.25">
      <c r="BM427" s="49"/>
      <c r="BN427" s="49"/>
      <c r="BO427" s="49"/>
      <c r="BP427" s="49"/>
      <c r="BQ427" s="49"/>
      <c r="BR427" s="49"/>
    </row>
    <row r="428" spans="65:70" x14ac:dyDescent="0.25">
      <c r="BM428" s="49"/>
      <c r="BN428" s="49"/>
      <c r="BO428" s="49"/>
      <c r="BP428" s="49"/>
      <c r="BQ428" s="49"/>
      <c r="BR428" s="49"/>
    </row>
    <row r="429" spans="65:70" x14ac:dyDescent="0.25">
      <c r="BM429" s="49"/>
      <c r="BN429" s="49"/>
      <c r="BO429" s="49"/>
      <c r="BP429" s="49"/>
      <c r="BQ429" s="49"/>
      <c r="BR429" s="49"/>
    </row>
    <row r="430" spans="65:70" x14ac:dyDescent="0.25">
      <c r="BM430" s="49"/>
      <c r="BN430" s="49"/>
      <c r="BO430" s="49"/>
      <c r="BP430" s="49"/>
      <c r="BQ430" s="49"/>
      <c r="BR430" s="49"/>
    </row>
    <row r="431" spans="65:70" x14ac:dyDescent="0.25">
      <c r="BM431" s="49"/>
      <c r="BN431" s="49"/>
      <c r="BO431" s="49"/>
      <c r="BP431" s="49"/>
      <c r="BQ431" s="49"/>
      <c r="BR431" s="49"/>
    </row>
    <row r="432" spans="65:70" x14ac:dyDescent="0.25">
      <c r="BM432" s="49"/>
      <c r="BN432" s="49"/>
      <c r="BO432" s="49"/>
      <c r="BP432" s="49"/>
      <c r="BQ432" s="49"/>
      <c r="BR432" s="49"/>
    </row>
    <row r="433" spans="65:70" x14ac:dyDescent="0.25">
      <c r="BM433" s="49"/>
      <c r="BN433" s="49"/>
      <c r="BO433" s="49"/>
      <c r="BP433" s="49"/>
      <c r="BQ433" s="49"/>
      <c r="BR433" s="49"/>
    </row>
    <row r="434" spans="65:70" x14ac:dyDescent="0.25">
      <c r="BM434" s="49"/>
      <c r="BN434" s="49"/>
      <c r="BO434" s="49"/>
      <c r="BP434" s="49"/>
      <c r="BQ434" s="49"/>
      <c r="BR434" s="49"/>
    </row>
    <row r="435" spans="65:70" x14ac:dyDescent="0.25">
      <c r="BM435" s="49"/>
      <c r="BN435" s="49"/>
      <c r="BO435" s="49"/>
      <c r="BP435" s="49"/>
      <c r="BQ435" s="49"/>
      <c r="BR435" s="49"/>
    </row>
    <row r="436" spans="65:70" x14ac:dyDescent="0.25">
      <c r="BM436" s="49"/>
      <c r="BN436" s="49"/>
      <c r="BO436" s="49"/>
      <c r="BP436" s="49"/>
      <c r="BQ436" s="49"/>
      <c r="BR436" s="49"/>
    </row>
    <row r="437" spans="65:70" x14ac:dyDescent="0.25">
      <c r="BM437" s="49"/>
      <c r="BN437" s="49"/>
      <c r="BO437" s="49"/>
      <c r="BP437" s="49"/>
      <c r="BQ437" s="49"/>
      <c r="BR437" s="49"/>
    </row>
    <row r="438" spans="65:70" x14ac:dyDescent="0.25">
      <c r="BM438" s="49"/>
      <c r="BN438" s="49"/>
      <c r="BO438" s="49"/>
      <c r="BP438" s="49"/>
      <c r="BQ438" s="49"/>
      <c r="BR438" s="49"/>
    </row>
    <row r="439" spans="65:70" x14ac:dyDescent="0.25">
      <c r="BM439" s="49"/>
      <c r="BN439" s="49"/>
      <c r="BO439" s="49"/>
      <c r="BP439" s="49"/>
      <c r="BQ439" s="49"/>
      <c r="BR439" s="49"/>
    </row>
    <row r="440" spans="65:70" x14ac:dyDescent="0.25">
      <c r="BM440" s="49"/>
      <c r="BN440" s="49"/>
      <c r="BO440" s="49"/>
      <c r="BP440" s="49"/>
      <c r="BQ440" s="49"/>
      <c r="BR440" s="49"/>
    </row>
    <row r="441" spans="65:70" x14ac:dyDescent="0.25">
      <c r="BM441" s="49"/>
      <c r="BN441" s="49"/>
      <c r="BO441" s="49"/>
      <c r="BP441" s="49"/>
      <c r="BQ441" s="49"/>
      <c r="BR441" s="49"/>
    </row>
    <row r="442" spans="65:70" x14ac:dyDescent="0.25">
      <c r="BM442" s="49"/>
      <c r="BN442" s="49"/>
      <c r="BO442" s="49"/>
      <c r="BP442" s="49"/>
      <c r="BQ442" s="49"/>
      <c r="BR442" s="49"/>
    </row>
    <row r="443" spans="65:70" x14ac:dyDescent="0.25">
      <c r="BM443" s="49"/>
      <c r="BN443" s="49"/>
      <c r="BO443" s="49"/>
      <c r="BP443" s="49"/>
      <c r="BQ443" s="49"/>
      <c r="BR443" s="49"/>
    </row>
    <row r="444" spans="65:70" x14ac:dyDescent="0.25">
      <c r="BM444" s="49"/>
      <c r="BN444" s="49"/>
      <c r="BO444" s="49"/>
      <c r="BP444" s="49"/>
      <c r="BQ444" s="49"/>
      <c r="BR444" s="49"/>
    </row>
    <row r="445" spans="65:70" x14ac:dyDescent="0.25">
      <c r="BM445" s="49"/>
      <c r="BN445" s="49"/>
      <c r="BO445" s="49"/>
      <c r="BP445" s="49"/>
      <c r="BQ445" s="49"/>
      <c r="BR445" s="49"/>
    </row>
    <row r="446" spans="65:70" x14ac:dyDescent="0.25">
      <c r="BM446" s="49"/>
      <c r="BN446" s="49"/>
      <c r="BO446" s="49"/>
      <c r="BP446" s="49"/>
      <c r="BQ446" s="49"/>
      <c r="BR446" s="49"/>
    </row>
    <row r="447" spans="65:70" x14ac:dyDescent="0.25">
      <c r="BM447" s="49"/>
      <c r="BN447" s="49"/>
      <c r="BO447" s="49"/>
      <c r="BP447" s="49"/>
      <c r="BQ447" s="49"/>
      <c r="BR447" s="49"/>
    </row>
    <row r="448" spans="65:70" x14ac:dyDescent="0.25">
      <c r="BM448" s="49"/>
      <c r="BN448" s="49"/>
      <c r="BO448" s="49"/>
      <c r="BP448" s="49"/>
      <c r="BQ448" s="49"/>
      <c r="BR448" s="49"/>
    </row>
    <row r="449" spans="65:70" x14ac:dyDescent="0.25">
      <c r="BM449" s="49"/>
      <c r="BN449" s="49"/>
      <c r="BO449" s="49"/>
      <c r="BP449" s="49"/>
      <c r="BQ449" s="49"/>
      <c r="BR449" s="49"/>
    </row>
    <row r="450" spans="65:70" x14ac:dyDescent="0.25">
      <c r="BM450" s="49"/>
      <c r="BN450" s="49"/>
      <c r="BO450" s="49"/>
      <c r="BP450" s="49"/>
      <c r="BQ450" s="49"/>
      <c r="BR450" s="49"/>
    </row>
    <row r="451" spans="65:70" x14ac:dyDescent="0.25">
      <c r="BM451" s="49"/>
      <c r="BN451" s="49"/>
      <c r="BO451" s="49"/>
      <c r="BP451" s="49"/>
      <c r="BQ451" s="49"/>
      <c r="BR451" s="49"/>
    </row>
    <row r="452" spans="65:70" x14ac:dyDescent="0.25">
      <c r="BM452" s="49"/>
      <c r="BN452" s="49"/>
      <c r="BO452" s="49"/>
      <c r="BP452" s="49"/>
      <c r="BQ452" s="49"/>
      <c r="BR452" s="49"/>
    </row>
    <row r="453" spans="65:70" x14ac:dyDescent="0.25">
      <c r="BM453" s="49"/>
      <c r="BN453" s="49"/>
      <c r="BO453" s="49"/>
      <c r="BP453" s="49"/>
      <c r="BQ453" s="49"/>
      <c r="BR453" s="49"/>
    </row>
    <row r="454" spans="65:70" x14ac:dyDescent="0.25">
      <c r="BM454" s="49"/>
      <c r="BN454" s="49"/>
      <c r="BO454" s="49"/>
      <c r="BP454" s="49"/>
      <c r="BQ454" s="49"/>
      <c r="BR454" s="49"/>
    </row>
    <row r="455" spans="65:70" x14ac:dyDescent="0.25">
      <c r="BM455" s="49"/>
      <c r="BN455" s="49"/>
      <c r="BO455" s="49"/>
      <c r="BP455" s="49"/>
      <c r="BQ455" s="49"/>
      <c r="BR455" s="49"/>
    </row>
    <row r="456" spans="65:70" x14ac:dyDescent="0.25">
      <c r="BM456" s="49"/>
      <c r="BN456" s="49"/>
      <c r="BO456" s="49"/>
      <c r="BP456" s="49"/>
      <c r="BQ456" s="49"/>
      <c r="BR456" s="49"/>
    </row>
    <row r="457" spans="65:70" x14ac:dyDescent="0.25">
      <c r="BM457" s="49"/>
      <c r="BN457" s="49"/>
      <c r="BO457" s="49"/>
      <c r="BP457" s="49"/>
      <c r="BQ457" s="49"/>
      <c r="BR457" s="49"/>
    </row>
    <row r="458" spans="65:70" x14ac:dyDescent="0.25">
      <c r="BM458" s="49"/>
      <c r="BN458" s="49"/>
      <c r="BO458" s="49"/>
      <c r="BP458" s="49"/>
      <c r="BQ458" s="49"/>
      <c r="BR458" s="49"/>
    </row>
    <row r="459" spans="65:70" x14ac:dyDescent="0.25">
      <c r="BM459" s="49"/>
      <c r="BN459" s="49"/>
      <c r="BO459" s="49"/>
      <c r="BP459" s="49"/>
      <c r="BQ459" s="49"/>
      <c r="BR459" s="49"/>
    </row>
    <row r="460" spans="65:70" x14ac:dyDescent="0.25">
      <c r="BM460" s="49"/>
      <c r="BN460" s="49"/>
      <c r="BO460" s="49"/>
      <c r="BP460" s="49"/>
      <c r="BQ460" s="49"/>
      <c r="BR460" s="49"/>
    </row>
    <row r="461" spans="65:70" x14ac:dyDescent="0.25">
      <c r="BM461" s="49"/>
      <c r="BN461" s="49"/>
      <c r="BO461" s="49"/>
      <c r="BP461" s="49"/>
      <c r="BQ461" s="49"/>
      <c r="BR461" s="49"/>
    </row>
    <row r="462" spans="65:70" x14ac:dyDescent="0.25">
      <c r="BM462" s="49"/>
      <c r="BN462" s="49"/>
      <c r="BO462" s="49"/>
      <c r="BP462" s="49"/>
      <c r="BQ462" s="49"/>
      <c r="BR462" s="49"/>
    </row>
    <row r="463" spans="65:70" x14ac:dyDescent="0.25">
      <c r="BM463" s="49"/>
      <c r="BN463" s="49"/>
      <c r="BO463" s="49"/>
      <c r="BP463" s="49"/>
      <c r="BQ463" s="49"/>
      <c r="BR463" s="49"/>
    </row>
    <row r="464" spans="65:70" x14ac:dyDescent="0.25">
      <c r="BM464" s="49"/>
      <c r="BN464" s="49"/>
      <c r="BO464" s="49"/>
      <c r="BP464" s="49"/>
      <c r="BQ464" s="49"/>
      <c r="BR464" s="49"/>
    </row>
    <row r="465" spans="65:70" x14ac:dyDescent="0.25">
      <c r="BM465" s="49"/>
      <c r="BN465" s="49"/>
      <c r="BO465" s="49"/>
      <c r="BP465" s="49"/>
      <c r="BQ465" s="49"/>
      <c r="BR465" s="49"/>
    </row>
    <row r="466" spans="65:70" x14ac:dyDescent="0.25">
      <c r="BM466" s="49"/>
      <c r="BN466" s="49"/>
      <c r="BO466" s="49"/>
      <c r="BP466" s="49"/>
      <c r="BQ466" s="49"/>
      <c r="BR466" s="49"/>
    </row>
    <row r="467" spans="65:70" x14ac:dyDescent="0.25">
      <c r="BM467" s="49"/>
      <c r="BN467" s="49"/>
      <c r="BO467" s="49"/>
      <c r="BP467" s="49"/>
      <c r="BQ467" s="49"/>
      <c r="BR467" s="49"/>
    </row>
    <row r="468" spans="65:70" x14ac:dyDescent="0.25">
      <c r="BM468" s="49"/>
      <c r="BN468" s="49"/>
      <c r="BO468" s="49"/>
      <c r="BP468" s="49"/>
      <c r="BQ468" s="49"/>
      <c r="BR468" s="49"/>
    </row>
    <row r="469" spans="65:70" x14ac:dyDescent="0.25">
      <c r="BM469" s="49"/>
      <c r="BN469" s="49"/>
      <c r="BO469" s="49"/>
      <c r="BP469" s="49"/>
      <c r="BQ469" s="49"/>
      <c r="BR469" s="49"/>
    </row>
    <row r="470" spans="65:70" x14ac:dyDescent="0.25">
      <c r="BM470" s="49"/>
      <c r="BN470" s="49"/>
      <c r="BO470" s="49"/>
      <c r="BP470" s="49"/>
      <c r="BQ470" s="49"/>
      <c r="BR470" s="49"/>
    </row>
    <row r="471" spans="65:70" x14ac:dyDescent="0.25">
      <c r="BM471" s="49"/>
      <c r="BN471" s="49"/>
      <c r="BO471" s="49"/>
      <c r="BP471" s="49"/>
      <c r="BQ471" s="49"/>
      <c r="BR471" s="49"/>
    </row>
    <row r="472" spans="65:70" x14ac:dyDescent="0.25">
      <c r="BM472" s="49"/>
      <c r="BN472" s="49"/>
      <c r="BO472" s="49"/>
      <c r="BP472" s="49"/>
      <c r="BQ472" s="49"/>
      <c r="BR472" s="49"/>
    </row>
    <row r="473" spans="65:70" x14ac:dyDescent="0.25">
      <c r="BM473" s="49"/>
      <c r="BN473" s="49"/>
      <c r="BO473" s="49"/>
      <c r="BP473" s="49"/>
      <c r="BQ473" s="49"/>
      <c r="BR473" s="49"/>
    </row>
    <row r="474" spans="65:70" x14ac:dyDescent="0.25">
      <c r="BM474" s="49"/>
      <c r="BN474" s="49"/>
      <c r="BO474" s="49"/>
      <c r="BP474" s="49"/>
      <c r="BQ474" s="49"/>
      <c r="BR474" s="49"/>
    </row>
    <row r="475" spans="65:70" x14ac:dyDescent="0.25">
      <c r="BM475" s="49"/>
      <c r="BN475" s="49"/>
      <c r="BO475" s="49"/>
      <c r="BP475" s="49"/>
      <c r="BQ475" s="49"/>
      <c r="BR475" s="49"/>
    </row>
    <row r="476" spans="65:70" x14ac:dyDescent="0.25">
      <c r="BM476" s="49"/>
      <c r="BN476" s="49"/>
      <c r="BO476" s="49"/>
      <c r="BP476" s="49"/>
      <c r="BQ476" s="49"/>
      <c r="BR476" s="49"/>
    </row>
    <row r="477" spans="65:70" x14ac:dyDescent="0.25">
      <c r="BM477" s="49"/>
      <c r="BN477" s="49"/>
      <c r="BO477" s="49"/>
      <c r="BP477" s="49"/>
      <c r="BQ477" s="49"/>
      <c r="BR477" s="49"/>
    </row>
    <row r="478" spans="65:70" x14ac:dyDescent="0.25">
      <c r="BM478" s="49"/>
      <c r="BN478" s="49"/>
      <c r="BO478" s="49"/>
      <c r="BP478" s="49"/>
      <c r="BQ478" s="49"/>
      <c r="BR478" s="49"/>
    </row>
    <row r="479" spans="65:70" x14ac:dyDescent="0.25">
      <c r="BM479" s="49"/>
      <c r="BN479" s="49"/>
      <c r="BO479" s="49"/>
      <c r="BP479" s="49"/>
      <c r="BQ479" s="49"/>
      <c r="BR479" s="49"/>
    </row>
    <row r="480" spans="65:70" x14ac:dyDescent="0.25">
      <c r="BM480" s="49"/>
      <c r="BN480" s="49"/>
      <c r="BO480" s="49"/>
      <c r="BP480" s="49"/>
      <c r="BQ480" s="49"/>
      <c r="BR480" s="49"/>
    </row>
    <row r="481" spans="65:70" x14ac:dyDescent="0.25">
      <c r="BM481" s="49"/>
      <c r="BN481" s="49"/>
      <c r="BO481" s="49"/>
      <c r="BP481" s="49"/>
      <c r="BQ481" s="49"/>
      <c r="BR481" s="49"/>
    </row>
    <row r="482" spans="65:70" x14ac:dyDescent="0.25">
      <c r="BM482" s="49"/>
      <c r="BN482" s="49"/>
      <c r="BO482" s="49"/>
      <c r="BP482" s="49"/>
      <c r="BQ482" s="49"/>
      <c r="BR482" s="49"/>
    </row>
    <row r="483" spans="65:70" x14ac:dyDescent="0.25">
      <c r="BM483" s="49"/>
      <c r="BN483" s="49"/>
      <c r="BO483" s="49"/>
      <c r="BP483" s="49"/>
      <c r="BQ483" s="49"/>
      <c r="BR483" s="49"/>
    </row>
    <row r="484" spans="65:70" x14ac:dyDescent="0.25">
      <c r="BM484" s="49"/>
      <c r="BN484" s="49"/>
      <c r="BO484" s="49"/>
      <c r="BP484" s="49"/>
      <c r="BQ484" s="49"/>
      <c r="BR484" s="49"/>
    </row>
    <row r="485" spans="65:70" x14ac:dyDescent="0.25">
      <c r="BM485" s="49"/>
      <c r="BN485" s="49"/>
      <c r="BO485" s="49"/>
      <c r="BP485" s="49"/>
      <c r="BQ485" s="49"/>
      <c r="BR485" s="49"/>
    </row>
    <row r="486" spans="65:70" x14ac:dyDescent="0.25">
      <c r="BM486" s="49"/>
      <c r="BN486" s="49"/>
      <c r="BO486" s="49"/>
      <c r="BP486" s="49"/>
      <c r="BQ486" s="49"/>
      <c r="BR486" s="49"/>
    </row>
    <row r="487" spans="65:70" x14ac:dyDescent="0.25">
      <c r="BM487" s="49"/>
      <c r="BN487" s="49"/>
      <c r="BO487" s="49"/>
      <c r="BP487" s="49"/>
      <c r="BQ487" s="49"/>
      <c r="BR487" s="49"/>
    </row>
    <row r="488" spans="65:70" x14ac:dyDescent="0.25">
      <c r="BM488" s="49"/>
      <c r="BN488" s="49"/>
      <c r="BO488" s="49"/>
      <c r="BP488" s="49"/>
      <c r="BQ488" s="49"/>
      <c r="BR488" s="49"/>
    </row>
    <row r="489" spans="65:70" x14ac:dyDescent="0.25">
      <c r="BM489" s="49"/>
      <c r="BN489" s="49"/>
      <c r="BO489" s="49"/>
      <c r="BP489" s="49"/>
      <c r="BQ489" s="49"/>
      <c r="BR489" s="49"/>
    </row>
    <row r="490" spans="65:70" x14ac:dyDescent="0.25">
      <c r="BM490" s="49"/>
      <c r="BN490" s="49"/>
      <c r="BO490" s="49"/>
      <c r="BP490" s="49"/>
      <c r="BQ490" s="49"/>
      <c r="BR490" s="49"/>
    </row>
    <row r="491" spans="65:70" x14ac:dyDescent="0.25">
      <c r="BM491" s="49"/>
      <c r="BN491" s="49"/>
      <c r="BO491" s="49"/>
      <c r="BP491" s="49"/>
      <c r="BQ491" s="49"/>
      <c r="BR491" s="49"/>
    </row>
    <row r="492" spans="65:70" x14ac:dyDescent="0.25">
      <c r="BM492" s="49"/>
      <c r="BN492" s="49"/>
      <c r="BO492" s="49"/>
      <c r="BP492" s="49"/>
      <c r="BQ492" s="49"/>
      <c r="BR492" s="49"/>
    </row>
    <row r="493" spans="65:70" x14ac:dyDescent="0.25">
      <c r="BM493" s="49"/>
      <c r="BN493" s="49"/>
      <c r="BO493" s="49"/>
      <c r="BP493" s="49"/>
      <c r="BQ493" s="49"/>
      <c r="BR493" s="49"/>
    </row>
    <row r="494" spans="65:70" x14ac:dyDescent="0.25">
      <c r="BM494" s="49"/>
      <c r="BN494" s="49"/>
      <c r="BO494" s="49"/>
      <c r="BP494" s="49"/>
      <c r="BQ494" s="49"/>
      <c r="BR494" s="49"/>
    </row>
    <row r="495" spans="65:70" x14ac:dyDescent="0.25">
      <c r="BM495" s="49"/>
      <c r="BN495" s="49"/>
      <c r="BO495" s="49"/>
      <c r="BP495" s="49"/>
      <c r="BQ495" s="49"/>
      <c r="BR495" s="49"/>
    </row>
    <row r="496" spans="65:70" x14ac:dyDescent="0.25">
      <c r="BM496" s="49"/>
      <c r="BN496" s="49"/>
      <c r="BO496" s="49"/>
      <c r="BP496" s="49"/>
      <c r="BQ496" s="49"/>
      <c r="BR496" s="49"/>
    </row>
    <row r="497" spans="65:70" x14ac:dyDescent="0.25">
      <c r="BM497" s="49"/>
      <c r="BN497" s="49"/>
      <c r="BO497" s="49"/>
      <c r="BP497" s="49"/>
      <c r="BQ497" s="49"/>
      <c r="BR497" s="49"/>
    </row>
    <row r="498" spans="65:70" x14ac:dyDescent="0.25">
      <c r="BM498" s="49"/>
      <c r="BN498" s="49"/>
      <c r="BO498" s="49"/>
      <c r="BP498" s="49"/>
      <c r="BQ498" s="49"/>
      <c r="BR498" s="49"/>
    </row>
    <row r="499" spans="65:70" x14ac:dyDescent="0.25">
      <c r="BM499" s="49"/>
      <c r="BN499" s="49"/>
      <c r="BO499" s="49"/>
      <c r="BP499" s="49"/>
      <c r="BQ499" s="49"/>
      <c r="BR499" s="49"/>
    </row>
    <row r="500" spans="65:70" x14ac:dyDescent="0.25">
      <c r="BM500" s="49"/>
      <c r="BN500" s="49"/>
      <c r="BO500" s="49"/>
      <c r="BP500" s="49"/>
      <c r="BQ500" s="49"/>
      <c r="BR500" s="49"/>
    </row>
    <row r="501" spans="65:70" x14ac:dyDescent="0.25">
      <c r="BM501" s="49"/>
      <c r="BN501" s="49"/>
      <c r="BO501" s="49"/>
      <c r="BP501" s="49"/>
      <c r="BQ501" s="49"/>
      <c r="BR501" s="49"/>
    </row>
    <row r="502" spans="65:70" x14ac:dyDescent="0.25">
      <c r="BM502" s="49"/>
      <c r="BN502" s="49"/>
      <c r="BO502" s="49"/>
      <c r="BP502" s="49"/>
      <c r="BQ502" s="49"/>
      <c r="BR502" s="49"/>
    </row>
    <row r="503" spans="65:70" x14ac:dyDescent="0.25">
      <c r="BM503" s="49"/>
      <c r="BN503" s="49"/>
      <c r="BO503" s="49"/>
      <c r="BP503" s="49"/>
      <c r="BQ503" s="49"/>
      <c r="BR503" s="49"/>
    </row>
    <row r="504" spans="65:70" x14ac:dyDescent="0.25">
      <c r="BM504" s="49"/>
      <c r="BN504" s="49"/>
      <c r="BO504" s="49"/>
      <c r="BP504" s="49"/>
      <c r="BQ504" s="49"/>
      <c r="BR504" s="49"/>
    </row>
    <row r="505" spans="65:70" x14ac:dyDescent="0.25">
      <c r="BM505" s="49"/>
      <c r="BN505" s="49"/>
      <c r="BO505" s="49"/>
      <c r="BP505" s="49"/>
      <c r="BQ505" s="49"/>
      <c r="BR505" s="49"/>
    </row>
    <row r="506" spans="65:70" x14ac:dyDescent="0.25">
      <c r="BM506" s="49"/>
      <c r="BN506" s="49"/>
      <c r="BO506" s="49"/>
      <c r="BP506" s="49"/>
      <c r="BQ506" s="49"/>
      <c r="BR506" s="49"/>
    </row>
    <row r="507" spans="65:70" x14ac:dyDescent="0.25">
      <c r="BM507" s="49"/>
      <c r="BN507" s="49"/>
      <c r="BO507" s="49"/>
      <c r="BP507" s="49"/>
      <c r="BQ507" s="49"/>
      <c r="BR507" s="49"/>
    </row>
    <row r="508" spans="65:70" x14ac:dyDescent="0.25">
      <c r="BM508" s="49"/>
      <c r="BN508" s="49"/>
      <c r="BO508" s="49"/>
      <c r="BP508" s="49"/>
      <c r="BQ508" s="49"/>
      <c r="BR508" s="49"/>
    </row>
    <row r="509" spans="65:70" x14ac:dyDescent="0.25">
      <c r="BM509" s="49"/>
      <c r="BN509" s="49"/>
      <c r="BO509" s="49"/>
      <c r="BP509" s="49"/>
      <c r="BQ509" s="49"/>
      <c r="BR509" s="49"/>
    </row>
    <row r="510" spans="65:70" x14ac:dyDescent="0.25">
      <c r="BM510" s="49"/>
      <c r="BN510" s="49"/>
      <c r="BO510" s="49"/>
      <c r="BP510" s="49"/>
      <c r="BQ510" s="49"/>
      <c r="BR510" s="49"/>
    </row>
    <row r="511" spans="65:70" x14ac:dyDescent="0.25">
      <c r="BM511" s="49"/>
      <c r="BN511" s="49"/>
      <c r="BO511" s="49"/>
      <c r="BP511" s="49"/>
      <c r="BQ511" s="49"/>
      <c r="BR511" s="49"/>
    </row>
    <row r="512" spans="65:70" x14ac:dyDescent="0.25">
      <c r="BM512" s="49"/>
      <c r="BN512" s="49"/>
      <c r="BO512" s="49"/>
      <c r="BP512" s="49"/>
      <c r="BQ512" s="49"/>
      <c r="BR512" s="49"/>
    </row>
    <row r="513" spans="65:70" x14ac:dyDescent="0.25">
      <c r="BM513" s="49"/>
      <c r="BN513" s="49"/>
      <c r="BO513" s="49"/>
      <c r="BP513" s="49"/>
      <c r="BQ513" s="49"/>
      <c r="BR513" s="49"/>
    </row>
    <row r="514" spans="65:70" x14ac:dyDescent="0.25">
      <c r="BM514" s="49"/>
      <c r="BN514" s="49"/>
      <c r="BO514" s="49"/>
      <c r="BP514" s="49"/>
      <c r="BQ514" s="49"/>
      <c r="BR514" s="49"/>
    </row>
    <row r="515" spans="65:70" x14ac:dyDescent="0.25">
      <c r="BM515" s="49"/>
      <c r="BN515" s="49"/>
      <c r="BO515" s="49"/>
      <c r="BP515" s="49"/>
      <c r="BQ515" s="49"/>
      <c r="BR515" s="49"/>
    </row>
    <row r="516" spans="65:70" x14ac:dyDescent="0.25">
      <c r="BM516" s="49"/>
      <c r="BN516" s="49"/>
      <c r="BO516" s="49"/>
      <c r="BP516" s="49"/>
      <c r="BQ516" s="49"/>
      <c r="BR516" s="49"/>
    </row>
    <row r="517" spans="65:70" x14ac:dyDescent="0.25">
      <c r="BM517" s="49"/>
      <c r="BN517" s="49"/>
      <c r="BO517" s="49"/>
      <c r="BP517" s="49"/>
      <c r="BQ517" s="49"/>
      <c r="BR517" s="49"/>
    </row>
    <row r="518" spans="65:70" x14ac:dyDescent="0.25">
      <c r="BM518" s="49"/>
      <c r="BN518" s="49"/>
      <c r="BO518" s="49"/>
      <c r="BP518" s="49"/>
      <c r="BQ518" s="49"/>
      <c r="BR518" s="49"/>
    </row>
    <row r="519" spans="65:70" x14ac:dyDescent="0.25">
      <c r="BM519" s="49"/>
      <c r="BN519" s="49"/>
      <c r="BO519" s="49"/>
      <c r="BP519" s="49"/>
      <c r="BQ519" s="49"/>
      <c r="BR519" s="49"/>
    </row>
    <row r="520" spans="65:70" x14ac:dyDescent="0.25">
      <c r="BM520" s="49"/>
      <c r="BN520" s="49"/>
      <c r="BO520" s="49"/>
      <c r="BP520" s="49"/>
      <c r="BQ520" s="49"/>
      <c r="BR520" s="49"/>
    </row>
    <row r="521" spans="65:70" x14ac:dyDescent="0.25">
      <c r="BM521" s="49"/>
      <c r="BN521" s="49"/>
      <c r="BO521" s="49"/>
      <c r="BP521" s="49"/>
      <c r="BQ521" s="49"/>
      <c r="BR521" s="49"/>
    </row>
    <row r="522" spans="65:70" x14ac:dyDescent="0.25">
      <c r="BM522" s="49"/>
      <c r="BN522" s="49"/>
      <c r="BO522" s="49"/>
      <c r="BP522" s="49"/>
      <c r="BQ522" s="49"/>
      <c r="BR522" s="49"/>
    </row>
    <row r="523" spans="65:70" x14ac:dyDescent="0.25">
      <c r="BM523" s="49"/>
      <c r="BN523" s="49"/>
      <c r="BO523" s="49"/>
      <c r="BP523" s="49"/>
      <c r="BQ523" s="49"/>
      <c r="BR523" s="49"/>
    </row>
    <row r="524" spans="65:70" x14ac:dyDescent="0.25">
      <c r="BM524" s="49"/>
      <c r="BN524" s="49"/>
      <c r="BO524" s="49"/>
      <c r="BP524" s="49"/>
      <c r="BQ524" s="49"/>
      <c r="BR524" s="49"/>
    </row>
    <row r="525" spans="65:70" x14ac:dyDescent="0.25">
      <c r="BM525" s="49"/>
      <c r="BN525" s="49"/>
      <c r="BO525" s="49"/>
      <c r="BP525" s="49"/>
      <c r="BQ525" s="49"/>
      <c r="BR525" s="49"/>
    </row>
    <row r="526" spans="65:70" x14ac:dyDescent="0.25">
      <c r="BM526" s="49"/>
      <c r="BN526" s="49"/>
      <c r="BO526" s="49"/>
      <c r="BP526" s="49"/>
      <c r="BQ526" s="49"/>
      <c r="BR526" s="49"/>
    </row>
    <row r="527" spans="65:70" x14ac:dyDescent="0.25">
      <c r="BM527" s="49"/>
      <c r="BN527" s="49"/>
      <c r="BO527" s="49"/>
      <c r="BP527" s="49"/>
      <c r="BQ527" s="49"/>
      <c r="BR527" s="49"/>
    </row>
    <row r="528" spans="65:70" x14ac:dyDescent="0.25">
      <c r="BM528" s="49"/>
      <c r="BN528" s="49"/>
      <c r="BO528" s="49"/>
      <c r="BP528" s="49"/>
      <c r="BQ528" s="49"/>
      <c r="BR528" s="49"/>
    </row>
    <row r="529" spans="65:70" x14ac:dyDescent="0.25">
      <c r="BM529" s="49"/>
      <c r="BN529" s="49"/>
      <c r="BO529" s="49"/>
      <c r="BP529" s="49"/>
      <c r="BQ529" s="49"/>
      <c r="BR529" s="49"/>
    </row>
    <row r="530" spans="65:70" x14ac:dyDescent="0.25">
      <c r="BM530" s="49"/>
      <c r="BN530" s="49"/>
      <c r="BO530" s="49"/>
      <c r="BP530" s="49"/>
      <c r="BQ530" s="49"/>
      <c r="BR530" s="49"/>
    </row>
    <row r="531" spans="65:70" x14ac:dyDescent="0.25">
      <c r="BM531" s="49"/>
      <c r="BN531" s="49"/>
      <c r="BO531" s="49"/>
      <c r="BP531" s="49"/>
      <c r="BQ531" s="49"/>
      <c r="BR531" s="49"/>
    </row>
    <row r="532" spans="65:70" x14ac:dyDescent="0.25">
      <c r="BM532" s="49"/>
      <c r="BN532" s="49"/>
      <c r="BO532" s="49"/>
      <c r="BP532" s="49"/>
      <c r="BQ532" s="49"/>
      <c r="BR532" s="49"/>
    </row>
    <row r="533" spans="65:70" x14ac:dyDescent="0.25">
      <c r="BM533" s="49"/>
      <c r="BN533" s="49"/>
      <c r="BO533" s="49"/>
      <c r="BP533" s="49"/>
      <c r="BQ533" s="49"/>
      <c r="BR533" s="49"/>
    </row>
    <row r="534" spans="65:70" x14ac:dyDescent="0.25">
      <c r="BM534" s="49"/>
      <c r="BN534" s="49"/>
      <c r="BO534" s="49"/>
      <c r="BP534" s="49"/>
      <c r="BQ534" s="49"/>
      <c r="BR534" s="49"/>
    </row>
    <row r="535" spans="65:70" x14ac:dyDescent="0.25">
      <c r="BM535" s="49"/>
      <c r="BN535" s="49"/>
      <c r="BO535" s="49"/>
      <c r="BP535" s="49"/>
      <c r="BQ535" s="49"/>
      <c r="BR535" s="49"/>
    </row>
    <row r="536" spans="65:70" x14ac:dyDescent="0.25">
      <c r="BM536" s="49"/>
      <c r="BN536" s="49"/>
      <c r="BO536" s="49"/>
      <c r="BP536" s="49"/>
      <c r="BQ536" s="49"/>
      <c r="BR536" s="49"/>
    </row>
    <row r="537" spans="65:70" x14ac:dyDescent="0.25">
      <c r="BM537" s="49"/>
      <c r="BN537" s="49"/>
      <c r="BO537" s="49"/>
      <c r="BP537" s="49"/>
      <c r="BQ537" s="49"/>
      <c r="BR537" s="49"/>
    </row>
    <row r="538" spans="65:70" x14ac:dyDescent="0.25">
      <c r="BM538" s="49"/>
      <c r="BN538" s="49"/>
      <c r="BO538" s="49"/>
      <c r="BP538" s="49"/>
      <c r="BQ538" s="49"/>
      <c r="BR538" s="49"/>
    </row>
    <row r="539" spans="65:70" x14ac:dyDescent="0.25">
      <c r="BM539" s="49"/>
      <c r="BN539" s="49"/>
      <c r="BO539" s="49"/>
      <c r="BP539" s="49"/>
      <c r="BQ539" s="49"/>
      <c r="BR539" s="49"/>
    </row>
    <row r="540" spans="65:70" x14ac:dyDescent="0.25">
      <c r="BM540" s="49"/>
      <c r="BN540" s="49"/>
      <c r="BO540" s="49"/>
      <c r="BP540" s="49"/>
      <c r="BQ540" s="49"/>
      <c r="BR540" s="49"/>
    </row>
    <row r="541" spans="65:70" x14ac:dyDescent="0.25">
      <c r="BM541" s="49"/>
      <c r="BN541" s="49"/>
      <c r="BO541" s="49"/>
      <c r="BP541" s="49"/>
      <c r="BQ541" s="49"/>
      <c r="BR541" s="49"/>
    </row>
    <row r="542" spans="65:70" x14ac:dyDescent="0.25">
      <c r="BM542" s="49"/>
      <c r="BN542" s="49"/>
      <c r="BO542" s="49"/>
      <c r="BP542" s="49"/>
      <c r="BQ542" s="49"/>
      <c r="BR542" s="49"/>
    </row>
    <row r="543" spans="65:70" x14ac:dyDescent="0.25">
      <c r="BM543" s="49"/>
      <c r="BN543" s="49"/>
      <c r="BO543" s="49"/>
      <c r="BP543" s="49"/>
      <c r="BQ543" s="49"/>
      <c r="BR543" s="49"/>
    </row>
    <row r="544" spans="65:70" x14ac:dyDescent="0.25">
      <c r="BM544" s="49"/>
      <c r="BN544" s="49"/>
      <c r="BO544" s="49"/>
      <c r="BP544" s="49"/>
      <c r="BQ544" s="49"/>
      <c r="BR544" s="49"/>
    </row>
    <row r="545" spans="65:70" x14ac:dyDescent="0.25">
      <c r="BM545" s="49"/>
      <c r="BN545" s="49"/>
      <c r="BO545" s="49"/>
      <c r="BP545" s="49"/>
      <c r="BQ545" s="49"/>
      <c r="BR545" s="49"/>
    </row>
    <row r="546" spans="65:70" x14ac:dyDescent="0.25">
      <c r="BM546" s="49"/>
      <c r="BN546" s="49"/>
      <c r="BO546" s="49"/>
      <c r="BP546" s="49"/>
      <c r="BQ546" s="49"/>
      <c r="BR546" s="49"/>
    </row>
    <row r="547" spans="65:70" x14ac:dyDescent="0.25">
      <c r="BM547" s="49"/>
      <c r="BN547" s="49"/>
      <c r="BO547" s="49"/>
      <c r="BP547" s="49"/>
      <c r="BQ547" s="49"/>
      <c r="BR547" s="49"/>
    </row>
    <row r="548" spans="65:70" x14ac:dyDescent="0.25">
      <c r="BM548" s="49"/>
      <c r="BN548" s="49"/>
      <c r="BO548" s="49"/>
      <c r="BP548" s="49"/>
      <c r="BQ548" s="49"/>
      <c r="BR548" s="49"/>
    </row>
    <row r="549" spans="65:70" x14ac:dyDescent="0.25">
      <c r="BM549" s="49"/>
      <c r="BN549" s="49"/>
      <c r="BO549" s="49"/>
      <c r="BP549" s="49"/>
      <c r="BQ549" s="49"/>
      <c r="BR549" s="49"/>
    </row>
    <row r="550" spans="65:70" x14ac:dyDescent="0.25">
      <c r="BM550" s="49"/>
      <c r="BN550" s="49"/>
      <c r="BO550" s="49"/>
      <c r="BP550" s="49"/>
      <c r="BQ550" s="49"/>
      <c r="BR550" s="49"/>
    </row>
    <row r="551" spans="65:70" x14ac:dyDescent="0.25">
      <c r="BM551" s="49"/>
      <c r="BN551" s="49"/>
      <c r="BO551" s="49"/>
      <c r="BP551" s="49"/>
      <c r="BQ551" s="49"/>
      <c r="BR551" s="49"/>
    </row>
    <row r="552" spans="65:70" x14ac:dyDescent="0.25">
      <c r="BM552" s="49"/>
      <c r="BN552" s="49"/>
      <c r="BO552" s="49"/>
      <c r="BP552" s="49"/>
      <c r="BQ552" s="49"/>
      <c r="BR552" s="49"/>
    </row>
    <row r="553" spans="65:70" x14ac:dyDescent="0.25">
      <c r="BM553" s="49"/>
      <c r="BN553" s="49"/>
      <c r="BO553" s="49"/>
      <c r="BP553" s="49"/>
      <c r="BQ553" s="49"/>
      <c r="BR553" s="49"/>
    </row>
    <row r="554" spans="65:70" x14ac:dyDescent="0.25">
      <c r="BM554" s="49"/>
      <c r="BN554" s="49"/>
      <c r="BO554" s="49"/>
      <c r="BP554" s="49"/>
      <c r="BQ554" s="49"/>
      <c r="BR554" s="49"/>
    </row>
    <row r="555" spans="65:70" x14ac:dyDescent="0.25">
      <c r="BM555" s="49"/>
      <c r="BN555" s="49"/>
      <c r="BO555" s="49"/>
      <c r="BP555" s="49"/>
      <c r="BQ555" s="49"/>
      <c r="BR555" s="49"/>
    </row>
    <row r="556" spans="65:70" x14ac:dyDescent="0.25">
      <c r="BM556" s="49"/>
      <c r="BN556" s="49"/>
      <c r="BO556" s="49"/>
      <c r="BP556" s="49"/>
      <c r="BQ556" s="49"/>
      <c r="BR556" s="49"/>
    </row>
    <row r="557" spans="65:70" x14ac:dyDescent="0.25">
      <c r="BM557" s="49"/>
      <c r="BN557" s="49"/>
      <c r="BO557" s="49"/>
      <c r="BP557" s="49"/>
      <c r="BQ557" s="49"/>
      <c r="BR557" s="49"/>
    </row>
    <row r="558" spans="65:70" x14ac:dyDescent="0.25">
      <c r="BM558" s="49"/>
      <c r="BN558" s="49"/>
      <c r="BO558" s="49"/>
      <c r="BP558" s="49"/>
      <c r="BQ558" s="49"/>
      <c r="BR558" s="49"/>
    </row>
    <row r="559" spans="65:70" x14ac:dyDescent="0.25">
      <c r="BM559" s="49"/>
      <c r="BN559" s="49"/>
      <c r="BO559" s="49"/>
      <c r="BP559" s="49"/>
      <c r="BQ559" s="49"/>
      <c r="BR559" s="49"/>
    </row>
    <row r="560" spans="65:70" x14ac:dyDescent="0.25">
      <c r="BM560" s="49"/>
      <c r="BN560" s="49"/>
      <c r="BO560" s="49"/>
      <c r="BP560" s="49"/>
      <c r="BQ560" s="49"/>
      <c r="BR560" s="49"/>
    </row>
    <row r="561" spans="65:70" x14ac:dyDescent="0.25">
      <c r="BM561" s="49"/>
      <c r="BN561" s="49"/>
      <c r="BO561" s="49"/>
      <c r="BP561" s="49"/>
      <c r="BQ561" s="49"/>
      <c r="BR561" s="49"/>
    </row>
    <row r="562" spans="65:70" x14ac:dyDescent="0.25">
      <c r="BM562" s="49"/>
      <c r="BN562" s="49"/>
      <c r="BO562" s="49"/>
      <c r="BP562" s="49"/>
      <c r="BQ562" s="49"/>
      <c r="BR562" s="49"/>
    </row>
    <row r="563" spans="65:70" x14ac:dyDescent="0.25">
      <c r="BM563" s="49"/>
      <c r="BN563" s="49"/>
      <c r="BO563" s="49"/>
      <c r="BP563" s="49"/>
      <c r="BQ563" s="49"/>
      <c r="BR563" s="49"/>
    </row>
    <row r="564" spans="65:70" x14ac:dyDescent="0.25">
      <c r="BM564" s="49"/>
      <c r="BN564" s="49"/>
      <c r="BO564" s="49"/>
      <c r="BP564" s="49"/>
      <c r="BQ564" s="49"/>
      <c r="BR564" s="49"/>
    </row>
    <row r="565" spans="65:70" x14ac:dyDescent="0.25">
      <c r="BM565" s="49"/>
      <c r="BN565" s="49"/>
      <c r="BO565" s="49"/>
      <c r="BP565" s="49"/>
      <c r="BQ565" s="49"/>
      <c r="BR565" s="49"/>
    </row>
    <row r="566" spans="65:70" x14ac:dyDescent="0.25">
      <c r="BM566" s="49"/>
      <c r="BN566" s="49"/>
      <c r="BO566" s="49"/>
      <c r="BP566" s="49"/>
      <c r="BQ566" s="49"/>
      <c r="BR566" s="49"/>
    </row>
    <row r="567" spans="65:70" x14ac:dyDescent="0.25">
      <c r="BM567" s="49"/>
      <c r="BN567" s="49"/>
      <c r="BO567" s="49"/>
      <c r="BP567" s="49"/>
      <c r="BQ567" s="49"/>
      <c r="BR567" s="49"/>
    </row>
    <row r="568" spans="65:70" x14ac:dyDescent="0.25">
      <c r="BM568" s="49"/>
      <c r="BN568" s="49"/>
      <c r="BO568" s="49"/>
      <c r="BP568" s="49"/>
      <c r="BQ568" s="49"/>
      <c r="BR568" s="49"/>
    </row>
    <row r="569" spans="65:70" x14ac:dyDescent="0.25">
      <c r="BM569" s="49"/>
      <c r="BN569" s="49"/>
      <c r="BO569" s="49"/>
      <c r="BP569" s="49"/>
      <c r="BQ569" s="49"/>
      <c r="BR569" s="49"/>
    </row>
    <row r="570" spans="65:70" x14ac:dyDescent="0.25">
      <c r="BM570" s="49"/>
      <c r="BN570" s="49"/>
      <c r="BO570" s="49"/>
      <c r="BP570" s="49"/>
      <c r="BQ570" s="49"/>
      <c r="BR570" s="49"/>
    </row>
    <row r="571" spans="65:70" x14ac:dyDescent="0.25">
      <c r="BM571" s="49"/>
      <c r="BN571" s="49"/>
      <c r="BO571" s="49"/>
      <c r="BP571" s="49"/>
      <c r="BQ571" s="49"/>
      <c r="BR571" s="49"/>
    </row>
    <row r="572" spans="65:70" x14ac:dyDescent="0.25">
      <c r="BM572" s="49"/>
      <c r="BN572" s="49"/>
      <c r="BO572" s="49"/>
      <c r="BP572" s="49"/>
      <c r="BQ572" s="49"/>
      <c r="BR572" s="49"/>
    </row>
    <row r="573" spans="65:70" x14ac:dyDescent="0.25">
      <c r="BM573" s="49"/>
      <c r="BN573" s="49"/>
      <c r="BO573" s="49"/>
      <c r="BP573" s="49"/>
      <c r="BQ573" s="49"/>
      <c r="BR573" s="49"/>
    </row>
    <row r="574" spans="65:70" x14ac:dyDescent="0.25">
      <c r="BM574" s="49"/>
      <c r="BN574" s="49"/>
      <c r="BO574" s="49"/>
      <c r="BP574" s="49"/>
      <c r="BQ574" s="49"/>
      <c r="BR574" s="49"/>
    </row>
    <row r="575" spans="65:70" x14ac:dyDescent="0.25">
      <c r="BM575" s="49"/>
      <c r="BN575" s="49"/>
      <c r="BO575" s="49"/>
      <c r="BP575" s="49"/>
      <c r="BQ575" s="49"/>
      <c r="BR575" s="49"/>
    </row>
    <row r="576" spans="65:70" x14ac:dyDescent="0.25">
      <c r="BM576" s="49"/>
      <c r="BN576" s="49"/>
      <c r="BO576" s="49"/>
      <c r="BP576" s="49"/>
      <c r="BQ576" s="49"/>
      <c r="BR576" s="49"/>
    </row>
    <row r="577" spans="65:70" x14ac:dyDescent="0.25">
      <c r="BM577" s="49"/>
      <c r="BN577" s="49"/>
      <c r="BO577" s="49"/>
      <c r="BP577" s="49"/>
      <c r="BQ577" s="49"/>
      <c r="BR577" s="49"/>
    </row>
    <row r="578" spans="65:70" x14ac:dyDescent="0.25">
      <c r="BM578" s="49"/>
      <c r="BN578" s="49"/>
      <c r="BO578" s="49"/>
      <c r="BP578" s="49"/>
      <c r="BQ578" s="49"/>
      <c r="BR578" s="49"/>
    </row>
    <row r="579" spans="65:70" x14ac:dyDescent="0.25">
      <c r="BM579" s="49"/>
      <c r="BN579" s="49"/>
      <c r="BO579" s="49"/>
      <c r="BP579" s="49"/>
      <c r="BQ579" s="49"/>
      <c r="BR579" s="49"/>
    </row>
    <row r="580" spans="65:70" x14ac:dyDescent="0.25">
      <c r="BM580" s="49"/>
      <c r="BN580" s="49"/>
      <c r="BO580" s="49"/>
      <c r="BP580" s="49"/>
      <c r="BQ580" s="49"/>
      <c r="BR580" s="49"/>
    </row>
    <row r="581" spans="65:70" x14ac:dyDescent="0.25">
      <c r="BM581" s="49"/>
      <c r="BN581" s="49"/>
      <c r="BO581" s="49"/>
      <c r="BP581" s="49"/>
      <c r="BQ581" s="49"/>
      <c r="BR581" s="49"/>
    </row>
    <row r="582" spans="65:70" x14ac:dyDescent="0.25">
      <c r="BM582" s="49"/>
      <c r="BN582" s="49"/>
      <c r="BO582" s="49"/>
      <c r="BP582" s="49"/>
      <c r="BQ582" s="49"/>
      <c r="BR582" s="49"/>
    </row>
    <row r="583" spans="65:70" x14ac:dyDescent="0.25">
      <c r="BM583" s="49"/>
      <c r="BN583" s="49"/>
      <c r="BO583" s="49"/>
      <c r="BP583" s="49"/>
      <c r="BQ583" s="49"/>
      <c r="BR583" s="49"/>
    </row>
    <row r="584" spans="65:70" x14ac:dyDescent="0.25">
      <c r="BM584" s="49"/>
      <c r="BN584" s="49"/>
      <c r="BO584" s="49"/>
      <c r="BP584" s="49"/>
      <c r="BQ584" s="49"/>
      <c r="BR584" s="49"/>
    </row>
    <row r="585" spans="65:70" x14ac:dyDescent="0.25">
      <c r="BM585" s="49"/>
      <c r="BN585" s="49"/>
      <c r="BO585" s="49"/>
      <c r="BP585" s="49"/>
      <c r="BQ585" s="49"/>
      <c r="BR585" s="49"/>
    </row>
    <row r="586" spans="65:70" x14ac:dyDescent="0.25">
      <c r="BM586" s="49"/>
      <c r="BN586" s="49"/>
      <c r="BO586" s="49"/>
      <c r="BP586" s="49"/>
      <c r="BQ586" s="49"/>
      <c r="BR586" s="49"/>
    </row>
    <row r="587" spans="65:70" x14ac:dyDescent="0.25">
      <c r="BM587" s="49"/>
      <c r="BN587" s="49"/>
      <c r="BO587" s="49"/>
      <c r="BP587" s="49"/>
      <c r="BQ587" s="49"/>
      <c r="BR587" s="49"/>
    </row>
    <row r="588" spans="65:70" x14ac:dyDescent="0.25">
      <c r="BM588" s="49"/>
      <c r="BN588" s="49"/>
      <c r="BO588" s="49"/>
      <c r="BP588" s="49"/>
      <c r="BQ588" s="49"/>
      <c r="BR588" s="49"/>
    </row>
    <row r="589" spans="65:70" x14ac:dyDescent="0.25">
      <c r="BM589" s="49"/>
      <c r="BN589" s="49"/>
      <c r="BO589" s="49"/>
      <c r="BP589" s="49"/>
      <c r="BQ589" s="49"/>
      <c r="BR589" s="49"/>
    </row>
    <row r="590" spans="65:70" x14ac:dyDescent="0.25">
      <c r="BM590" s="49"/>
      <c r="BN590" s="49"/>
      <c r="BO590" s="49"/>
      <c r="BP590" s="49"/>
      <c r="BQ590" s="49"/>
      <c r="BR590" s="49"/>
    </row>
    <row r="591" spans="65:70" x14ac:dyDescent="0.25">
      <c r="BM591" s="49"/>
      <c r="BN591" s="49"/>
      <c r="BO591" s="49"/>
      <c r="BP591" s="49"/>
      <c r="BQ591" s="49"/>
      <c r="BR591" s="49"/>
    </row>
    <row r="592" spans="65:70" x14ac:dyDescent="0.25">
      <c r="BM592" s="49"/>
      <c r="BN592" s="49"/>
      <c r="BO592" s="49"/>
      <c r="BP592" s="49"/>
      <c r="BQ592" s="49"/>
      <c r="BR592" s="49"/>
    </row>
    <row r="593" spans="65:70" x14ac:dyDescent="0.25">
      <c r="BM593" s="49"/>
      <c r="BN593" s="49"/>
      <c r="BO593" s="49"/>
      <c r="BP593" s="49"/>
      <c r="BQ593" s="49"/>
      <c r="BR593" s="49"/>
    </row>
    <row r="594" spans="65:70" x14ac:dyDescent="0.25">
      <c r="BM594" s="49"/>
      <c r="BN594" s="49"/>
      <c r="BO594" s="49"/>
      <c r="BP594" s="49"/>
      <c r="BQ594" s="49"/>
      <c r="BR594" s="49"/>
    </row>
    <row r="595" spans="65:70" x14ac:dyDescent="0.25">
      <c r="BM595" s="49"/>
      <c r="BN595" s="49"/>
      <c r="BO595" s="49"/>
      <c r="BP595" s="49"/>
      <c r="BQ595" s="49"/>
      <c r="BR595" s="49"/>
    </row>
    <row r="596" spans="65:70" x14ac:dyDescent="0.25">
      <c r="BM596" s="49"/>
      <c r="BN596" s="49"/>
      <c r="BO596" s="49"/>
      <c r="BP596" s="49"/>
      <c r="BQ596" s="49"/>
      <c r="BR596" s="49"/>
    </row>
    <row r="597" spans="65:70" x14ac:dyDescent="0.25">
      <c r="BM597" s="49"/>
      <c r="BN597" s="49"/>
      <c r="BO597" s="49"/>
      <c r="BP597" s="49"/>
      <c r="BQ597" s="49"/>
      <c r="BR597" s="49"/>
    </row>
    <row r="598" spans="65:70" x14ac:dyDescent="0.25">
      <c r="BM598" s="49"/>
      <c r="BN598" s="49"/>
      <c r="BO598" s="49"/>
      <c r="BP598" s="49"/>
      <c r="BQ598" s="49"/>
      <c r="BR598" s="49"/>
    </row>
    <row r="599" spans="65:70" x14ac:dyDescent="0.25">
      <c r="BM599" s="49"/>
      <c r="BN599" s="49"/>
      <c r="BO599" s="49"/>
      <c r="BP599" s="49"/>
      <c r="BQ599" s="49"/>
      <c r="BR599" s="49"/>
    </row>
    <row r="600" spans="65:70" x14ac:dyDescent="0.25">
      <c r="BM600" s="49"/>
      <c r="BN600" s="49"/>
      <c r="BO600" s="49"/>
      <c r="BP600" s="49"/>
      <c r="BQ600" s="49"/>
      <c r="BR600" s="49"/>
    </row>
    <row r="601" spans="65:70" x14ac:dyDescent="0.25">
      <c r="BM601" s="49"/>
      <c r="BN601" s="49"/>
      <c r="BO601" s="49"/>
      <c r="BP601" s="49"/>
      <c r="BQ601" s="49"/>
      <c r="BR601" s="49"/>
    </row>
    <row r="602" spans="65:70" x14ac:dyDescent="0.25">
      <c r="BM602" s="49"/>
      <c r="BN602" s="49"/>
      <c r="BO602" s="49"/>
      <c r="BP602" s="49"/>
      <c r="BQ602" s="49"/>
      <c r="BR602" s="49"/>
    </row>
    <row r="603" spans="65:70" x14ac:dyDescent="0.25">
      <c r="BM603" s="49"/>
      <c r="BN603" s="49"/>
      <c r="BO603" s="49"/>
      <c r="BP603" s="49"/>
      <c r="BQ603" s="49"/>
      <c r="BR603" s="49"/>
    </row>
    <row r="604" spans="65:70" x14ac:dyDescent="0.25">
      <c r="BM604" s="49"/>
      <c r="BN604" s="49"/>
      <c r="BO604" s="49"/>
      <c r="BP604" s="49"/>
      <c r="BQ604" s="49"/>
      <c r="BR604" s="49"/>
    </row>
    <row r="605" spans="65:70" x14ac:dyDescent="0.25">
      <c r="BM605" s="49"/>
      <c r="BN605" s="49"/>
      <c r="BO605" s="49"/>
      <c r="BP605" s="49"/>
      <c r="BQ605" s="49"/>
      <c r="BR605" s="49"/>
    </row>
    <row r="606" spans="65:70" x14ac:dyDescent="0.25">
      <c r="BM606" s="49"/>
      <c r="BN606" s="49"/>
      <c r="BO606" s="49"/>
      <c r="BP606" s="49"/>
      <c r="BQ606" s="49"/>
      <c r="BR606" s="49"/>
    </row>
    <row r="607" spans="65:70" x14ac:dyDescent="0.25">
      <c r="BM607" s="49"/>
      <c r="BN607" s="49"/>
      <c r="BO607" s="49"/>
      <c r="BP607" s="49"/>
      <c r="BQ607" s="49"/>
      <c r="BR607" s="49"/>
    </row>
    <row r="608" spans="65:70" x14ac:dyDescent="0.25">
      <c r="BM608" s="49"/>
      <c r="BN608" s="49"/>
      <c r="BO608" s="49"/>
      <c r="BP608" s="49"/>
      <c r="BQ608" s="49"/>
      <c r="BR608" s="49"/>
    </row>
    <row r="609" spans="65:70" x14ac:dyDescent="0.25">
      <c r="BM609" s="49"/>
      <c r="BN609" s="49"/>
      <c r="BO609" s="49"/>
      <c r="BP609" s="49"/>
      <c r="BQ609" s="49"/>
      <c r="BR609" s="49"/>
    </row>
    <row r="610" spans="65:70" x14ac:dyDescent="0.25">
      <c r="BM610" s="49"/>
      <c r="BN610" s="49"/>
      <c r="BO610" s="49"/>
      <c r="BP610" s="49"/>
      <c r="BQ610" s="49"/>
      <c r="BR610" s="49"/>
    </row>
    <row r="611" spans="65:70" x14ac:dyDescent="0.25">
      <c r="BM611" s="49"/>
      <c r="BN611" s="49"/>
      <c r="BO611" s="49"/>
      <c r="BP611" s="49"/>
      <c r="BQ611" s="49"/>
      <c r="BR611" s="49"/>
    </row>
    <row r="612" spans="65:70" x14ac:dyDescent="0.25">
      <c r="BM612" s="49"/>
      <c r="BN612" s="49"/>
      <c r="BO612" s="49"/>
      <c r="BP612" s="49"/>
      <c r="BQ612" s="49"/>
      <c r="BR612" s="49"/>
    </row>
    <row r="613" spans="65:70" x14ac:dyDescent="0.25">
      <c r="BM613" s="49"/>
      <c r="BN613" s="49"/>
      <c r="BO613" s="49"/>
      <c r="BP613" s="49"/>
      <c r="BQ613" s="49"/>
      <c r="BR613" s="49"/>
    </row>
    <row r="614" spans="65:70" x14ac:dyDescent="0.25">
      <c r="BM614" s="49"/>
      <c r="BN614" s="49"/>
      <c r="BO614" s="49"/>
      <c r="BP614" s="49"/>
      <c r="BQ614" s="49"/>
      <c r="BR614" s="49"/>
    </row>
    <row r="615" spans="65:70" x14ac:dyDescent="0.25">
      <c r="BM615" s="49"/>
      <c r="BN615" s="49"/>
      <c r="BO615" s="49"/>
      <c r="BP615" s="49"/>
      <c r="BQ615" s="49"/>
      <c r="BR615" s="49"/>
    </row>
    <row r="616" spans="65:70" x14ac:dyDescent="0.25">
      <c r="BM616" s="49"/>
      <c r="BN616" s="49"/>
      <c r="BO616" s="49"/>
      <c r="BP616" s="49"/>
      <c r="BQ616" s="49"/>
      <c r="BR616" s="49"/>
    </row>
    <row r="617" spans="65:70" x14ac:dyDescent="0.25">
      <c r="BM617" s="49"/>
      <c r="BN617" s="49"/>
      <c r="BO617" s="49"/>
      <c r="BP617" s="49"/>
      <c r="BQ617" s="49"/>
      <c r="BR617" s="49"/>
    </row>
    <row r="618" spans="65:70" x14ac:dyDescent="0.25">
      <c r="BM618" s="49"/>
      <c r="BN618" s="49"/>
      <c r="BO618" s="49"/>
      <c r="BP618" s="49"/>
      <c r="BQ618" s="49"/>
      <c r="BR618" s="49"/>
    </row>
    <row r="619" spans="65:70" x14ac:dyDescent="0.25">
      <c r="BM619" s="49"/>
      <c r="BN619" s="49"/>
      <c r="BO619" s="49"/>
      <c r="BP619" s="49"/>
      <c r="BQ619" s="49"/>
      <c r="BR619" s="49"/>
    </row>
    <row r="620" spans="65:70" x14ac:dyDescent="0.25">
      <c r="BM620" s="49"/>
      <c r="BN620" s="49"/>
      <c r="BO620" s="49"/>
      <c r="BP620" s="49"/>
      <c r="BQ620" s="49"/>
      <c r="BR620" s="49"/>
    </row>
    <row r="621" spans="65:70" x14ac:dyDescent="0.25">
      <c r="BM621" s="49"/>
      <c r="BN621" s="49"/>
      <c r="BO621" s="49"/>
      <c r="BP621" s="49"/>
      <c r="BQ621" s="49"/>
      <c r="BR621" s="49"/>
    </row>
    <row r="622" spans="65:70" x14ac:dyDescent="0.25">
      <c r="BM622" s="49"/>
      <c r="BN622" s="49"/>
      <c r="BO622" s="49"/>
      <c r="BP622" s="49"/>
      <c r="BQ622" s="49"/>
      <c r="BR622" s="49"/>
    </row>
    <row r="623" spans="65:70" x14ac:dyDescent="0.25">
      <c r="BM623" s="49"/>
      <c r="BN623" s="49"/>
      <c r="BO623" s="49"/>
      <c r="BP623" s="49"/>
      <c r="BQ623" s="49"/>
      <c r="BR623" s="49"/>
    </row>
    <row r="624" spans="65:70" x14ac:dyDescent="0.25">
      <c r="BM624" s="49"/>
      <c r="BN624" s="49"/>
      <c r="BO624" s="49"/>
      <c r="BP624" s="49"/>
      <c r="BQ624" s="49"/>
      <c r="BR624" s="49"/>
    </row>
    <row r="625" spans="65:70" x14ac:dyDescent="0.25">
      <c r="BM625" s="49"/>
      <c r="BN625" s="49"/>
      <c r="BO625" s="49"/>
      <c r="BP625" s="49"/>
      <c r="BQ625" s="49"/>
      <c r="BR625" s="49"/>
    </row>
    <row r="626" spans="65:70" x14ac:dyDescent="0.25">
      <c r="BM626" s="49"/>
      <c r="BN626" s="49"/>
      <c r="BO626" s="49"/>
      <c r="BP626" s="49"/>
      <c r="BQ626" s="49"/>
      <c r="BR626" s="49"/>
    </row>
    <row r="627" spans="65:70" x14ac:dyDescent="0.25">
      <c r="BM627" s="49"/>
      <c r="BN627" s="49"/>
      <c r="BO627" s="49"/>
      <c r="BP627" s="49"/>
      <c r="BQ627" s="49"/>
      <c r="BR627" s="49"/>
    </row>
    <row r="628" spans="65:70" x14ac:dyDescent="0.25">
      <c r="BM628" s="49"/>
      <c r="BN628" s="49"/>
      <c r="BO628" s="49"/>
      <c r="BP628" s="49"/>
      <c r="BQ628" s="49"/>
      <c r="BR628" s="49"/>
    </row>
    <row r="629" spans="65:70" x14ac:dyDescent="0.25">
      <c r="BM629" s="49"/>
      <c r="BN629" s="49"/>
      <c r="BO629" s="49"/>
      <c r="BP629" s="49"/>
      <c r="BQ629" s="49"/>
      <c r="BR629" s="49"/>
    </row>
    <row r="630" spans="65:70" x14ac:dyDescent="0.25">
      <c r="BM630" s="49"/>
      <c r="BN630" s="49"/>
      <c r="BO630" s="49"/>
      <c r="BP630" s="49"/>
      <c r="BQ630" s="49"/>
      <c r="BR630" s="49"/>
    </row>
    <row r="631" spans="65:70" x14ac:dyDescent="0.25">
      <c r="BM631" s="49"/>
      <c r="BN631" s="49"/>
      <c r="BO631" s="49"/>
      <c r="BP631" s="49"/>
      <c r="BQ631" s="49"/>
      <c r="BR631" s="49"/>
    </row>
    <row r="632" spans="65:70" x14ac:dyDescent="0.25">
      <c r="BM632" s="49"/>
      <c r="BN632" s="49"/>
      <c r="BO632" s="49"/>
      <c r="BP632" s="49"/>
      <c r="BQ632" s="49"/>
      <c r="BR632" s="49"/>
    </row>
    <row r="633" spans="65:70" x14ac:dyDescent="0.25">
      <c r="BM633" s="49"/>
      <c r="BN633" s="49"/>
      <c r="BO633" s="49"/>
      <c r="BP633" s="49"/>
      <c r="BQ633" s="49"/>
      <c r="BR633" s="49"/>
    </row>
    <row r="634" spans="65:70" x14ac:dyDescent="0.25">
      <c r="BM634" s="49"/>
      <c r="BN634" s="49"/>
      <c r="BO634" s="49"/>
      <c r="BP634" s="49"/>
      <c r="BQ634" s="49"/>
      <c r="BR634" s="49"/>
    </row>
    <row r="635" spans="65:70" x14ac:dyDescent="0.25">
      <c r="BM635" s="49"/>
      <c r="BN635" s="49"/>
      <c r="BO635" s="49"/>
      <c r="BP635" s="49"/>
      <c r="BQ635" s="49"/>
      <c r="BR635" s="49"/>
    </row>
    <row r="636" spans="65:70" x14ac:dyDescent="0.25">
      <c r="BM636" s="49"/>
      <c r="BN636" s="49"/>
      <c r="BO636" s="49"/>
      <c r="BP636" s="49"/>
      <c r="BQ636" s="49"/>
      <c r="BR636" s="49"/>
    </row>
    <row r="637" spans="65:70" x14ac:dyDescent="0.25">
      <c r="BM637" s="49"/>
      <c r="BN637" s="49"/>
      <c r="BO637" s="49"/>
      <c r="BP637" s="49"/>
      <c r="BQ637" s="49"/>
      <c r="BR637" s="49"/>
    </row>
    <row r="638" spans="65:70" x14ac:dyDescent="0.25">
      <c r="BM638" s="49"/>
      <c r="BN638" s="49"/>
      <c r="BO638" s="49"/>
      <c r="BP638" s="49"/>
      <c r="BQ638" s="49"/>
      <c r="BR638" s="49"/>
    </row>
    <row r="639" spans="65:70" x14ac:dyDescent="0.25">
      <c r="BM639" s="49"/>
      <c r="BN639" s="49"/>
      <c r="BO639" s="49"/>
      <c r="BP639" s="49"/>
      <c r="BQ639" s="49"/>
      <c r="BR639" s="49"/>
    </row>
    <row r="640" spans="65:70" x14ac:dyDescent="0.25">
      <c r="BM640" s="49"/>
      <c r="BN640" s="49"/>
      <c r="BO640" s="49"/>
      <c r="BP640" s="49"/>
      <c r="BQ640" s="49"/>
      <c r="BR640" s="49"/>
    </row>
    <row r="641" spans="65:70" x14ac:dyDescent="0.25">
      <c r="BM641" s="49"/>
      <c r="BN641" s="49"/>
      <c r="BO641" s="49"/>
      <c r="BP641" s="49"/>
      <c r="BQ641" s="49"/>
      <c r="BR641" s="49"/>
    </row>
    <row r="642" spans="65:70" x14ac:dyDescent="0.25">
      <c r="BM642" s="49"/>
      <c r="BN642" s="49"/>
      <c r="BO642" s="49"/>
      <c r="BP642" s="49"/>
      <c r="BQ642" s="49"/>
      <c r="BR642" s="49"/>
    </row>
    <row r="643" spans="65:70" x14ac:dyDescent="0.25">
      <c r="BM643" s="49"/>
      <c r="BN643" s="49"/>
      <c r="BO643" s="49"/>
      <c r="BP643" s="49"/>
      <c r="BQ643" s="49"/>
      <c r="BR643" s="49"/>
    </row>
    <row r="644" spans="65:70" x14ac:dyDescent="0.25">
      <c r="BM644" s="49"/>
      <c r="BN644" s="49"/>
      <c r="BO644" s="49"/>
      <c r="BP644" s="49"/>
      <c r="BQ644" s="49"/>
      <c r="BR644" s="49"/>
    </row>
    <row r="645" spans="65:70" x14ac:dyDescent="0.25">
      <c r="BM645" s="49"/>
      <c r="BN645" s="49"/>
      <c r="BO645" s="49"/>
      <c r="BP645" s="49"/>
      <c r="BQ645" s="49"/>
      <c r="BR645" s="49"/>
    </row>
    <row r="646" spans="65:70" x14ac:dyDescent="0.25">
      <c r="BM646" s="49"/>
      <c r="BN646" s="49"/>
      <c r="BO646" s="49"/>
      <c r="BP646" s="49"/>
      <c r="BQ646" s="49"/>
      <c r="BR646" s="49"/>
    </row>
    <row r="647" spans="65:70" x14ac:dyDescent="0.25">
      <c r="BM647" s="49"/>
      <c r="BN647" s="49"/>
      <c r="BO647" s="49"/>
      <c r="BP647" s="49"/>
      <c r="BQ647" s="49"/>
      <c r="BR647" s="49"/>
    </row>
    <row r="648" spans="65:70" x14ac:dyDescent="0.25">
      <c r="BM648" s="49"/>
      <c r="BN648" s="49"/>
      <c r="BO648" s="49"/>
      <c r="BP648" s="49"/>
      <c r="BQ648" s="49"/>
      <c r="BR648" s="49"/>
    </row>
    <row r="649" spans="65:70" x14ac:dyDescent="0.25">
      <c r="BM649" s="49"/>
      <c r="BN649" s="49"/>
      <c r="BO649" s="49"/>
      <c r="BP649" s="49"/>
      <c r="BQ649" s="49"/>
      <c r="BR649" s="49"/>
    </row>
    <row r="650" spans="65:70" x14ac:dyDescent="0.25">
      <c r="BM650" s="49"/>
      <c r="BN650" s="49"/>
      <c r="BO650" s="49"/>
      <c r="BP650" s="49"/>
      <c r="BQ650" s="49"/>
      <c r="BR650" s="49"/>
    </row>
    <row r="651" spans="65:70" x14ac:dyDescent="0.25">
      <c r="BM651" s="49"/>
      <c r="BN651" s="49"/>
      <c r="BO651" s="49"/>
      <c r="BP651" s="49"/>
      <c r="BQ651" s="49"/>
      <c r="BR651" s="49"/>
    </row>
    <row r="652" spans="65:70" x14ac:dyDescent="0.25">
      <c r="BM652" s="49"/>
      <c r="BN652" s="49"/>
      <c r="BO652" s="49"/>
      <c r="BP652" s="49"/>
      <c r="BQ652" s="49"/>
      <c r="BR652" s="49"/>
    </row>
    <row r="653" spans="65:70" x14ac:dyDescent="0.25">
      <c r="BM653" s="49"/>
      <c r="BN653" s="49"/>
      <c r="BO653" s="49"/>
      <c r="BP653" s="49"/>
      <c r="BQ653" s="49"/>
      <c r="BR653" s="49"/>
    </row>
    <row r="654" spans="65:70" x14ac:dyDescent="0.25">
      <c r="BM654" s="49"/>
      <c r="BN654" s="49"/>
      <c r="BO654" s="49"/>
      <c r="BP654" s="49"/>
      <c r="BQ654" s="49"/>
      <c r="BR654" s="49"/>
    </row>
    <row r="655" spans="65:70" x14ac:dyDescent="0.25">
      <c r="BM655" s="49"/>
      <c r="BN655" s="49"/>
      <c r="BO655" s="49"/>
      <c r="BP655" s="49"/>
      <c r="BQ655" s="49"/>
      <c r="BR655" s="49"/>
    </row>
    <row r="656" spans="65:70" x14ac:dyDescent="0.25">
      <c r="BM656" s="49"/>
      <c r="BN656" s="49"/>
      <c r="BO656" s="49"/>
      <c r="BP656" s="49"/>
      <c r="BQ656" s="49"/>
      <c r="BR656" s="49"/>
    </row>
    <row r="657" spans="65:70" x14ac:dyDescent="0.25">
      <c r="BM657" s="49"/>
      <c r="BN657" s="49"/>
      <c r="BO657" s="49"/>
      <c r="BP657" s="49"/>
      <c r="BQ657" s="49"/>
      <c r="BR657" s="49"/>
    </row>
    <row r="658" spans="65:70" x14ac:dyDescent="0.25">
      <c r="BM658" s="49"/>
      <c r="BN658" s="49"/>
      <c r="BO658" s="49"/>
      <c r="BP658" s="49"/>
      <c r="BQ658" s="49"/>
      <c r="BR658" s="49"/>
    </row>
    <row r="659" spans="65:70" x14ac:dyDescent="0.25">
      <c r="BM659" s="49"/>
      <c r="BN659" s="49"/>
      <c r="BO659" s="49"/>
      <c r="BP659" s="49"/>
      <c r="BQ659" s="49"/>
      <c r="BR659" s="49"/>
    </row>
    <row r="660" spans="65:70" x14ac:dyDescent="0.25">
      <c r="BM660" s="49"/>
      <c r="BN660" s="49"/>
      <c r="BO660" s="49"/>
      <c r="BP660" s="49"/>
      <c r="BQ660" s="49"/>
      <c r="BR660" s="49"/>
    </row>
    <row r="661" spans="65:70" x14ac:dyDescent="0.25">
      <c r="BM661" s="49"/>
      <c r="BN661" s="49"/>
      <c r="BO661" s="49"/>
      <c r="BP661" s="49"/>
      <c r="BQ661" s="49"/>
      <c r="BR661" s="49"/>
    </row>
    <row r="662" spans="65:70" x14ac:dyDescent="0.25">
      <c r="BM662" s="49"/>
      <c r="BN662" s="49"/>
      <c r="BO662" s="49"/>
      <c r="BP662" s="49"/>
      <c r="BQ662" s="49"/>
      <c r="BR662" s="49"/>
    </row>
    <row r="663" spans="65:70" x14ac:dyDescent="0.25">
      <c r="BM663" s="49"/>
      <c r="BN663" s="49"/>
      <c r="BO663" s="49"/>
      <c r="BP663" s="49"/>
      <c r="BQ663" s="49"/>
      <c r="BR663" s="49"/>
    </row>
    <row r="664" spans="65:70" x14ac:dyDescent="0.25">
      <c r="BM664" s="49"/>
      <c r="BN664" s="49"/>
      <c r="BO664" s="49"/>
      <c r="BP664" s="49"/>
      <c r="BQ664" s="49"/>
      <c r="BR664" s="49"/>
    </row>
    <row r="665" spans="65:70" x14ac:dyDescent="0.25">
      <c r="BM665" s="49"/>
      <c r="BN665" s="49"/>
      <c r="BO665" s="49"/>
      <c r="BP665" s="49"/>
      <c r="BQ665" s="49"/>
      <c r="BR665" s="49"/>
    </row>
    <row r="666" spans="65:70" x14ac:dyDescent="0.25">
      <c r="BM666" s="49"/>
      <c r="BN666" s="49"/>
      <c r="BO666" s="49"/>
      <c r="BP666" s="49"/>
      <c r="BQ666" s="49"/>
      <c r="BR666" s="49"/>
    </row>
    <row r="667" spans="65:70" x14ac:dyDescent="0.25">
      <c r="BM667" s="49"/>
      <c r="BN667" s="49"/>
      <c r="BO667" s="49"/>
      <c r="BP667" s="49"/>
      <c r="BQ667" s="49"/>
      <c r="BR667" s="49"/>
    </row>
    <row r="668" spans="65:70" x14ac:dyDescent="0.25">
      <c r="BM668" s="49"/>
      <c r="BN668" s="49"/>
      <c r="BO668" s="49"/>
      <c r="BP668" s="49"/>
      <c r="BQ668" s="49"/>
      <c r="BR668" s="49"/>
    </row>
    <row r="669" spans="65:70" x14ac:dyDescent="0.25">
      <c r="BM669" s="49"/>
      <c r="BN669" s="49"/>
      <c r="BO669" s="49"/>
      <c r="BP669" s="49"/>
      <c r="BQ669" s="49"/>
      <c r="BR669" s="49"/>
    </row>
    <row r="670" spans="65:70" x14ac:dyDescent="0.25">
      <c r="BM670" s="49"/>
      <c r="BN670" s="49"/>
      <c r="BO670" s="49"/>
      <c r="BP670" s="49"/>
      <c r="BQ670" s="49"/>
      <c r="BR670" s="49"/>
    </row>
    <row r="671" spans="65:70" x14ac:dyDescent="0.25">
      <c r="BM671" s="49"/>
      <c r="BN671" s="49"/>
      <c r="BO671" s="49"/>
      <c r="BP671" s="49"/>
      <c r="BQ671" s="49"/>
      <c r="BR671" s="49"/>
    </row>
    <row r="672" spans="65:70" x14ac:dyDescent="0.25">
      <c r="BM672" s="49"/>
      <c r="BN672" s="49"/>
      <c r="BO672" s="49"/>
      <c r="BP672" s="49"/>
      <c r="BQ672" s="49"/>
      <c r="BR672" s="49"/>
    </row>
    <row r="673" spans="65:70" x14ac:dyDescent="0.25">
      <c r="BM673" s="49"/>
      <c r="BN673" s="49"/>
      <c r="BO673" s="49"/>
      <c r="BP673" s="49"/>
      <c r="BQ673" s="49"/>
      <c r="BR673" s="49"/>
    </row>
    <row r="674" spans="65:70" x14ac:dyDescent="0.25">
      <c r="BM674" s="49"/>
      <c r="BN674" s="49"/>
      <c r="BO674" s="49"/>
      <c r="BP674" s="49"/>
      <c r="BQ674" s="49"/>
      <c r="BR674" s="49"/>
    </row>
    <row r="675" spans="65:70" x14ac:dyDescent="0.25">
      <c r="BM675" s="49"/>
      <c r="BN675" s="49"/>
      <c r="BO675" s="49"/>
      <c r="BP675" s="49"/>
      <c r="BQ675" s="49"/>
      <c r="BR675" s="49"/>
    </row>
    <row r="676" spans="65:70" x14ac:dyDescent="0.25">
      <c r="BM676" s="49"/>
      <c r="BN676" s="49"/>
      <c r="BO676" s="49"/>
      <c r="BP676" s="49"/>
      <c r="BQ676" s="49"/>
      <c r="BR676" s="49"/>
    </row>
    <row r="677" spans="65:70" x14ac:dyDescent="0.25">
      <c r="BM677" s="49"/>
      <c r="BN677" s="49"/>
      <c r="BO677" s="49"/>
      <c r="BP677" s="49"/>
      <c r="BQ677" s="49"/>
      <c r="BR677" s="49"/>
    </row>
    <row r="678" spans="65:70" x14ac:dyDescent="0.25">
      <c r="BM678" s="49"/>
      <c r="BN678" s="49"/>
      <c r="BO678" s="49"/>
      <c r="BP678" s="49"/>
      <c r="BQ678" s="49"/>
      <c r="BR678" s="49"/>
    </row>
    <row r="679" spans="65:70" x14ac:dyDescent="0.25">
      <c r="BM679" s="49"/>
      <c r="BN679" s="49"/>
      <c r="BO679" s="49"/>
      <c r="BP679" s="49"/>
      <c r="BQ679" s="49"/>
      <c r="BR679" s="49"/>
    </row>
    <row r="680" spans="65:70" x14ac:dyDescent="0.25">
      <c r="BM680" s="49"/>
      <c r="BN680" s="49"/>
      <c r="BO680" s="49"/>
      <c r="BP680" s="49"/>
      <c r="BQ680" s="49"/>
      <c r="BR680" s="49"/>
    </row>
    <row r="681" spans="65:70" x14ac:dyDescent="0.25">
      <c r="BM681" s="49"/>
      <c r="BN681" s="49"/>
      <c r="BO681" s="49"/>
      <c r="BP681" s="49"/>
      <c r="BQ681" s="49"/>
      <c r="BR681" s="49"/>
    </row>
    <row r="682" spans="65:70" x14ac:dyDescent="0.25">
      <c r="BM682" s="49"/>
      <c r="BN682" s="49"/>
      <c r="BO682" s="49"/>
      <c r="BP682" s="49"/>
      <c r="BQ682" s="49"/>
      <c r="BR682" s="49"/>
    </row>
    <row r="683" spans="65:70" x14ac:dyDescent="0.25">
      <c r="BM683" s="49"/>
      <c r="BN683" s="49"/>
      <c r="BO683" s="49"/>
      <c r="BP683" s="49"/>
      <c r="BQ683" s="49"/>
      <c r="BR683" s="49"/>
    </row>
    <row r="684" spans="65:70" x14ac:dyDescent="0.25">
      <c r="BM684" s="49"/>
      <c r="BN684" s="49"/>
      <c r="BO684" s="49"/>
      <c r="BP684" s="49"/>
      <c r="BQ684" s="49"/>
      <c r="BR684" s="49"/>
    </row>
    <row r="685" spans="65:70" x14ac:dyDescent="0.25">
      <c r="BM685" s="49"/>
      <c r="BN685" s="49"/>
      <c r="BO685" s="49"/>
      <c r="BP685" s="49"/>
      <c r="BQ685" s="49"/>
      <c r="BR685" s="49"/>
    </row>
    <row r="686" spans="65:70" x14ac:dyDescent="0.25">
      <c r="BM686" s="49"/>
      <c r="BN686" s="49"/>
      <c r="BO686" s="49"/>
      <c r="BP686" s="49"/>
      <c r="BQ686" s="49"/>
      <c r="BR686" s="49"/>
    </row>
    <row r="687" spans="65:70" x14ac:dyDescent="0.25">
      <c r="BM687" s="49"/>
      <c r="BN687" s="49"/>
      <c r="BO687" s="49"/>
      <c r="BP687" s="49"/>
      <c r="BQ687" s="49"/>
      <c r="BR687" s="49"/>
    </row>
    <row r="688" spans="65:70" x14ac:dyDescent="0.25">
      <c r="BM688" s="49"/>
      <c r="BN688" s="49"/>
      <c r="BO688" s="49"/>
      <c r="BP688" s="49"/>
      <c r="BQ688" s="49"/>
      <c r="BR688" s="49"/>
    </row>
    <row r="689" spans="65:70" x14ac:dyDescent="0.25">
      <c r="BM689" s="49"/>
      <c r="BN689" s="49"/>
      <c r="BO689" s="49"/>
      <c r="BP689" s="49"/>
      <c r="BQ689" s="49"/>
      <c r="BR689" s="49"/>
    </row>
    <row r="690" spans="65:70" x14ac:dyDescent="0.25">
      <c r="BM690" s="49"/>
      <c r="BN690" s="49"/>
      <c r="BO690" s="49"/>
      <c r="BP690" s="49"/>
      <c r="BQ690" s="49"/>
      <c r="BR690" s="49"/>
    </row>
    <row r="691" spans="65:70" x14ac:dyDescent="0.25">
      <c r="BM691" s="49"/>
      <c r="BN691" s="49"/>
      <c r="BO691" s="49"/>
      <c r="BP691" s="49"/>
      <c r="BQ691" s="49"/>
      <c r="BR691" s="49"/>
    </row>
    <row r="692" spans="65:70" x14ac:dyDescent="0.25">
      <c r="BM692" s="49"/>
      <c r="BN692" s="49"/>
      <c r="BO692" s="49"/>
      <c r="BP692" s="49"/>
      <c r="BQ692" s="49"/>
      <c r="BR692" s="49"/>
    </row>
    <row r="693" spans="65:70" x14ac:dyDescent="0.25">
      <c r="BM693" s="49"/>
      <c r="BN693" s="49"/>
      <c r="BO693" s="49"/>
      <c r="BP693" s="49"/>
      <c r="BQ693" s="49"/>
      <c r="BR693" s="49"/>
    </row>
    <row r="694" spans="65:70" x14ac:dyDescent="0.25">
      <c r="BM694" s="49"/>
      <c r="BN694" s="49"/>
      <c r="BO694" s="49"/>
      <c r="BP694" s="49"/>
      <c r="BQ694" s="49"/>
      <c r="BR694" s="49"/>
    </row>
    <row r="695" spans="65:70" x14ac:dyDescent="0.25">
      <c r="BM695" s="49"/>
      <c r="BN695" s="49"/>
      <c r="BO695" s="49"/>
      <c r="BP695" s="49"/>
      <c r="BQ695" s="49"/>
      <c r="BR695" s="49"/>
    </row>
    <row r="696" spans="65:70" x14ac:dyDescent="0.25">
      <c r="BM696" s="49"/>
      <c r="BN696" s="49"/>
      <c r="BO696" s="49"/>
      <c r="BP696" s="49"/>
      <c r="BQ696" s="49"/>
      <c r="BR696" s="49"/>
    </row>
    <row r="697" spans="65:70" x14ac:dyDescent="0.25">
      <c r="BM697" s="49"/>
      <c r="BN697" s="49"/>
      <c r="BO697" s="49"/>
      <c r="BP697" s="49"/>
      <c r="BQ697" s="49"/>
      <c r="BR697" s="49"/>
    </row>
    <row r="698" spans="65:70" x14ac:dyDescent="0.25">
      <c r="BM698" s="49"/>
      <c r="BN698" s="49"/>
      <c r="BO698" s="49"/>
      <c r="BP698" s="49"/>
      <c r="BQ698" s="49"/>
      <c r="BR698" s="49"/>
    </row>
    <row r="699" spans="65:70" x14ac:dyDescent="0.25">
      <c r="BM699" s="49"/>
      <c r="BN699" s="49"/>
      <c r="BO699" s="49"/>
      <c r="BP699" s="49"/>
      <c r="BQ699" s="49"/>
      <c r="BR699" s="49"/>
    </row>
    <row r="700" spans="65:70" x14ac:dyDescent="0.25">
      <c r="BM700" s="49"/>
      <c r="BN700" s="49"/>
      <c r="BO700" s="49"/>
      <c r="BP700" s="49"/>
      <c r="BQ700" s="49"/>
      <c r="BR700" s="49"/>
    </row>
    <row r="701" spans="65:70" x14ac:dyDescent="0.25">
      <c r="BM701" s="49"/>
      <c r="BN701" s="49"/>
      <c r="BO701" s="49"/>
      <c r="BP701" s="49"/>
      <c r="BQ701" s="49"/>
      <c r="BR701" s="49"/>
    </row>
    <row r="702" spans="65:70" x14ac:dyDescent="0.25">
      <c r="BM702" s="49"/>
      <c r="BN702" s="49"/>
      <c r="BO702" s="49"/>
      <c r="BP702" s="49"/>
      <c r="BQ702" s="49"/>
      <c r="BR702" s="49"/>
    </row>
    <row r="703" spans="65:70" x14ac:dyDescent="0.25">
      <c r="BM703" s="49"/>
      <c r="BN703" s="49"/>
      <c r="BO703" s="49"/>
      <c r="BP703" s="49"/>
      <c r="BQ703" s="49"/>
      <c r="BR703" s="49"/>
    </row>
    <row r="704" spans="65:70" x14ac:dyDescent="0.25">
      <c r="BM704" s="49"/>
      <c r="BN704" s="49"/>
      <c r="BO704" s="49"/>
      <c r="BP704" s="49"/>
      <c r="BQ704" s="49"/>
      <c r="BR704" s="49"/>
    </row>
    <row r="705" spans="65:70" x14ac:dyDescent="0.25">
      <c r="BM705" s="49"/>
      <c r="BN705" s="49"/>
      <c r="BO705" s="49"/>
      <c r="BP705" s="49"/>
      <c r="BQ705" s="49"/>
      <c r="BR705" s="49"/>
    </row>
    <row r="706" spans="65:70" x14ac:dyDescent="0.25">
      <c r="BM706" s="49"/>
      <c r="BN706" s="49"/>
      <c r="BO706" s="49"/>
      <c r="BP706" s="49"/>
      <c r="BQ706" s="49"/>
      <c r="BR706" s="49"/>
    </row>
    <row r="707" spans="65:70" x14ac:dyDescent="0.25">
      <c r="BM707" s="49"/>
      <c r="BN707" s="49"/>
      <c r="BO707" s="49"/>
      <c r="BP707" s="49"/>
      <c r="BQ707" s="49"/>
      <c r="BR707" s="49"/>
    </row>
    <row r="708" spans="65:70" x14ac:dyDescent="0.25">
      <c r="BM708" s="49"/>
      <c r="BN708" s="49"/>
      <c r="BO708" s="49"/>
      <c r="BP708" s="49"/>
      <c r="BQ708" s="49"/>
      <c r="BR708" s="49"/>
    </row>
    <row r="709" spans="65:70" x14ac:dyDescent="0.25">
      <c r="BM709" s="49"/>
      <c r="BN709" s="49"/>
      <c r="BO709" s="49"/>
      <c r="BP709" s="49"/>
      <c r="BQ709" s="49"/>
      <c r="BR709" s="49"/>
    </row>
    <row r="710" spans="65:70" x14ac:dyDescent="0.25">
      <c r="BM710" s="49"/>
      <c r="BN710" s="49"/>
      <c r="BO710" s="49"/>
      <c r="BP710" s="49"/>
      <c r="BQ710" s="49"/>
      <c r="BR710" s="49"/>
    </row>
    <row r="711" spans="65:70" x14ac:dyDescent="0.25">
      <c r="BM711" s="49"/>
      <c r="BN711" s="49"/>
      <c r="BO711" s="49"/>
      <c r="BP711" s="49"/>
      <c r="BQ711" s="49"/>
      <c r="BR711" s="49"/>
    </row>
    <row r="712" spans="65:70" x14ac:dyDescent="0.25">
      <c r="BM712" s="49"/>
      <c r="BN712" s="49"/>
      <c r="BO712" s="49"/>
      <c r="BP712" s="49"/>
      <c r="BQ712" s="49"/>
      <c r="BR712" s="49"/>
    </row>
    <row r="713" spans="65:70" x14ac:dyDescent="0.25">
      <c r="BM713" s="49"/>
      <c r="BN713" s="49"/>
      <c r="BO713" s="49"/>
      <c r="BP713" s="49"/>
      <c r="BQ713" s="49"/>
      <c r="BR713" s="49"/>
    </row>
    <row r="714" spans="65:70" x14ac:dyDescent="0.25">
      <c r="BM714" s="49"/>
      <c r="BN714" s="49"/>
      <c r="BO714" s="49"/>
      <c r="BP714" s="49"/>
      <c r="BQ714" s="49"/>
      <c r="BR714" s="49"/>
    </row>
    <row r="715" spans="65:70" x14ac:dyDescent="0.25">
      <c r="BM715" s="49"/>
      <c r="BN715" s="49"/>
      <c r="BO715" s="49"/>
      <c r="BP715" s="49"/>
      <c r="BQ715" s="49"/>
      <c r="BR715" s="49"/>
    </row>
    <row r="716" spans="65:70" x14ac:dyDescent="0.25">
      <c r="BM716" s="49"/>
      <c r="BN716" s="49"/>
      <c r="BO716" s="49"/>
      <c r="BP716" s="49"/>
      <c r="BQ716" s="49"/>
      <c r="BR716" s="49"/>
    </row>
    <row r="717" spans="65:70" x14ac:dyDescent="0.25">
      <c r="BM717" s="49"/>
      <c r="BN717" s="49"/>
      <c r="BO717" s="49"/>
      <c r="BP717" s="49"/>
      <c r="BQ717" s="49"/>
      <c r="BR717" s="49"/>
    </row>
    <row r="718" spans="65:70" x14ac:dyDescent="0.25">
      <c r="BM718" s="49"/>
      <c r="BN718" s="49"/>
      <c r="BO718" s="49"/>
      <c r="BP718" s="49"/>
      <c r="BQ718" s="49"/>
      <c r="BR718" s="49"/>
    </row>
    <row r="719" spans="65:70" x14ac:dyDescent="0.25">
      <c r="BM719" s="49"/>
      <c r="BN719" s="49"/>
      <c r="BO719" s="49"/>
      <c r="BP719" s="49"/>
      <c r="BQ719" s="49"/>
      <c r="BR719" s="49"/>
    </row>
    <row r="720" spans="65:70" x14ac:dyDescent="0.25">
      <c r="BM720" s="49"/>
      <c r="BN720" s="49"/>
      <c r="BO720" s="49"/>
      <c r="BP720" s="49"/>
      <c r="BQ720" s="49"/>
      <c r="BR720" s="49"/>
    </row>
    <row r="721" spans="65:70" x14ac:dyDescent="0.25">
      <c r="BM721" s="49"/>
      <c r="BN721" s="49"/>
      <c r="BO721" s="49"/>
      <c r="BP721" s="49"/>
      <c r="BQ721" s="49"/>
      <c r="BR721" s="49"/>
    </row>
    <row r="722" spans="65:70" x14ac:dyDescent="0.25">
      <c r="BM722" s="49"/>
      <c r="BN722" s="49"/>
      <c r="BO722" s="49"/>
      <c r="BP722" s="49"/>
      <c r="BQ722" s="49"/>
      <c r="BR722" s="49"/>
    </row>
    <row r="723" spans="65:70" x14ac:dyDescent="0.25">
      <c r="BM723" s="49"/>
      <c r="BN723" s="49"/>
      <c r="BO723" s="49"/>
      <c r="BP723" s="49"/>
      <c r="BQ723" s="49"/>
      <c r="BR723" s="49"/>
    </row>
    <row r="724" spans="65:70" x14ac:dyDescent="0.25">
      <c r="BM724" s="49"/>
      <c r="BN724" s="49"/>
      <c r="BO724" s="49"/>
      <c r="BP724" s="49"/>
      <c r="BQ724" s="49"/>
      <c r="BR724" s="49"/>
    </row>
    <row r="725" spans="65:70" x14ac:dyDescent="0.25">
      <c r="BM725" s="49"/>
      <c r="BN725" s="49"/>
      <c r="BO725" s="49"/>
      <c r="BP725" s="49"/>
      <c r="BQ725" s="49"/>
      <c r="BR725" s="49"/>
    </row>
    <row r="726" spans="65:70" x14ac:dyDescent="0.25">
      <c r="BM726" s="49"/>
      <c r="BN726" s="49"/>
      <c r="BO726" s="49"/>
      <c r="BP726" s="49"/>
      <c r="BQ726" s="49"/>
      <c r="BR726" s="49"/>
    </row>
    <row r="727" spans="65:70" x14ac:dyDescent="0.25">
      <c r="BM727" s="49"/>
      <c r="BN727" s="49"/>
      <c r="BO727" s="49"/>
      <c r="BP727" s="49"/>
      <c r="BQ727" s="49"/>
      <c r="BR727" s="49"/>
    </row>
    <row r="728" spans="65:70" x14ac:dyDescent="0.25">
      <c r="BM728" s="49"/>
      <c r="BN728" s="49"/>
      <c r="BO728" s="49"/>
      <c r="BP728" s="49"/>
      <c r="BQ728" s="49"/>
      <c r="BR728" s="49"/>
    </row>
    <row r="729" spans="65:70" x14ac:dyDescent="0.25">
      <c r="BM729" s="49"/>
      <c r="BN729" s="49"/>
      <c r="BO729" s="49"/>
      <c r="BP729" s="49"/>
      <c r="BQ729" s="49"/>
      <c r="BR729" s="49"/>
    </row>
    <row r="730" spans="65:70" x14ac:dyDescent="0.25">
      <c r="BM730" s="49"/>
      <c r="BN730" s="49"/>
      <c r="BO730" s="49"/>
      <c r="BP730" s="49"/>
      <c r="BQ730" s="49"/>
      <c r="BR730" s="49"/>
    </row>
    <row r="731" spans="65:70" x14ac:dyDescent="0.25">
      <c r="BM731" s="49"/>
      <c r="BN731" s="49"/>
      <c r="BO731" s="49"/>
      <c r="BP731" s="49"/>
      <c r="BQ731" s="49"/>
      <c r="BR731" s="49"/>
    </row>
    <row r="732" spans="65:70" x14ac:dyDescent="0.25">
      <c r="BM732" s="49"/>
      <c r="BN732" s="49"/>
      <c r="BO732" s="49"/>
      <c r="BP732" s="49"/>
      <c r="BQ732" s="49"/>
      <c r="BR732" s="49"/>
    </row>
    <row r="733" spans="65:70" x14ac:dyDescent="0.25">
      <c r="BM733" s="49"/>
      <c r="BN733" s="49"/>
      <c r="BO733" s="49"/>
      <c r="BP733" s="49"/>
      <c r="BQ733" s="49"/>
      <c r="BR733" s="49"/>
    </row>
    <row r="734" spans="65:70" x14ac:dyDescent="0.25">
      <c r="BM734" s="49"/>
      <c r="BN734" s="49"/>
      <c r="BO734" s="49"/>
      <c r="BP734" s="49"/>
      <c r="BQ734" s="49"/>
      <c r="BR734" s="49"/>
    </row>
    <row r="735" spans="65:70" x14ac:dyDescent="0.25">
      <c r="BM735" s="49"/>
      <c r="BN735" s="49"/>
      <c r="BO735" s="49"/>
      <c r="BP735" s="49"/>
      <c r="BQ735" s="49"/>
      <c r="BR735" s="49"/>
    </row>
    <row r="736" spans="65:70" x14ac:dyDescent="0.25">
      <c r="BM736" s="49"/>
      <c r="BN736" s="49"/>
      <c r="BO736" s="49"/>
      <c r="BP736" s="49"/>
      <c r="BQ736" s="49"/>
      <c r="BR736" s="49"/>
    </row>
    <row r="737" spans="65:70" x14ac:dyDescent="0.25">
      <c r="BM737" s="49"/>
      <c r="BN737" s="49"/>
      <c r="BO737" s="49"/>
      <c r="BP737" s="49"/>
      <c r="BQ737" s="49"/>
      <c r="BR737" s="49"/>
    </row>
    <row r="738" spans="65:70" x14ac:dyDescent="0.25">
      <c r="BM738" s="49"/>
      <c r="BN738" s="49"/>
      <c r="BO738" s="49"/>
      <c r="BP738" s="49"/>
      <c r="BQ738" s="49"/>
      <c r="BR738" s="49"/>
    </row>
    <row r="739" spans="65:70" x14ac:dyDescent="0.25">
      <c r="BM739" s="49"/>
      <c r="BN739" s="49"/>
      <c r="BO739" s="49"/>
      <c r="BP739" s="49"/>
      <c r="BQ739" s="49"/>
      <c r="BR739" s="49"/>
    </row>
    <row r="740" spans="65:70" x14ac:dyDescent="0.25">
      <c r="BM740" s="49"/>
      <c r="BN740" s="49"/>
      <c r="BO740" s="49"/>
      <c r="BP740" s="49"/>
      <c r="BQ740" s="49"/>
      <c r="BR740" s="49"/>
    </row>
    <row r="741" spans="65:70" x14ac:dyDescent="0.25">
      <c r="BM741" s="49"/>
      <c r="BN741" s="49"/>
      <c r="BO741" s="49"/>
      <c r="BP741" s="49"/>
      <c r="BQ741" s="49"/>
      <c r="BR741" s="49"/>
    </row>
    <row r="742" spans="65:70" x14ac:dyDescent="0.25">
      <c r="BM742" s="49"/>
      <c r="BN742" s="49"/>
      <c r="BO742" s="49"/>
      <c r="BP742" s="49"/>
      <c r="BQ742" s="49"/>
      <c r="BR742" s="49"/>
    </row>
    <row r="743" spans="65:70" x14ac:dyDescent="0.25">
      <c r="BM743" s="49"/>
      <c r="BN743" s="49"/>
      <c r="BO743" s="49"/>
      <c r="BP743" s="49"/>
      <c r="BQ743" s="49"/>
      <c r="BR743" s="49"/>
    </row>
    <row r="744" spans="65:70" x14ac:dyDescent="0.25">
      <c r="BM744" s="49"/>
      <c r="BN744" s="49"/>
      <c r="BO744" s="49"/>
      <c r="BP744" s="49"/>
      <c r="BQ744" s="49"/>
      <c r="BR744" s="49"/>
    </row>
    <row r="745" spans="65:70" x14ac:dyDescent="0.25">
      <c r="BM745" s="49"/>
      <c r="BN745" s="49"/>
      <c r="BO745" s="49"/>
      <c r="BP745" s="49"/>
      <c r="BQ745" s="49"/>
      <c r="BR745" s="49"/>
    </row>
    <row r="746" spans="65:70" x14ac:dyDescent="0.25">
      <c r="BM746" s="49"/>
      <c r="BN746" s="49"/>
      <c r="BO746" s="49"/>
      <c r="BP746" s="49"/>
      <c r="BQ746" s="49"/>
      <c r="BR746" s="49"/>
    </row>
    <row r="747" spans="65:70" x14ac:dyDescent="0.25">
      <c r="BM747" s="49"/>
      <c r="BN747" s="49"/>
      <c r="BO747" s="49"/>
      <c r="BP747" s="49"/>
      <c r="BQ747" s="49"/>
      <c r="BR747" s="49"/>
    </row>
    <row r="748" spans="65:70" x14ac:dyDescent="0.25">
      <c r="BM748" s="49"/>
      <c r="BN748" s="49"/>
      <c r="BO748" s="49"/>
      <c r="BP748" s="49"/>
      <c r="BQ748" s="49"/>
      <c r="BR748" s="49"/>
    </row>
    <row r="749" spans="65:70" x14ac:dyDescent="0.25">
      <c r="BM749" s="49"/>
      <c r="BN749" s="49"/>
      <c r="BO749" s="49"/>
      <c r="BP749" s="49"/>
      <c r="BQ749" s="49"/>
      <c r="BR749" s="49"/>
    </row>
    <row r="750" spans="65:70" x14ac:dyDescent="0.25">
      <c r="BM750" s="49"/>
      <c r="BN750" s="49"/>
      <c r="BO750" s="49"/>
      <c r="BP750" s="49"/>
      <c r="BQ750" s="49"/>
      <c r="BR750" s="49"/>
    </row>
    <row r="751" spans="65:70" x14ac:dyDescent="0.25">
      <c r="BM751" s="49"/>
      <c r="BN751" s="49"/>
      <c r="BO751" s="49"/>
      <c r="BP751" s="49"/>
      <c r="BQ751" s="49"/>
      <c r="BR751" s="49"/>
    </row>
    <row r="752" spans="65:70" x14ac:dyDescent="0.25">
      <c r="BM752" s="49"/>
      <c r="BN752" s="49"/>
      <c r="BO752" s="49"/>
      <c r="BP752" s="49"/>
      <c r="BQ752" s="49"/>
      <c r="BR752" s="49"/>
    </row>
    <row r="753" spans="65:70" x14ac:dyDescent="0.25">
      <c r="BM753" s="49"/>
      <c r="BN753" s="49"/>
      <c r="BO753" s="49"/>
      <c r="BP753" s="49"/>
      <c r="BQ753" s="49"/>
      <c r="BR753" s="49"/>
    </row>
    <row r="754" spans="65:70" x14ac:dyDescent="0.25">
      <c r="BM754" s="49"/>
      <c r="BN754" s="49"/>
      <c r="BO754" s="49"/>
      <c r="BP754" s="49"/>
      <c r="BQ754" s="49"/>
      <c r="BR754" s="49"/>
    </row>
    <row r="755" spans="65:70" x14ac:dyDescent="0.25">
      <c r="BM755" s="49"/>
      <c r="BN755" s="49"/>
      <c r="BO755" s="49"/>
      <c r="BP755" s="49"/>
      <c r="BQ755" s="49"/>
      <c r="BR755" s="49"/>
    </row>
    <row r="756" spans="65:70" x14ac:dyDescent="0.25">
      <c r="BM756" s="49"/>
      <c r="BN756" s="49"/>
      <c r="BO756" s="49"/>
      <c r="BP756" s="49"/>
      <c r="BQ756" s="49"/>
      <c r="BR756" s="49"/>
    </row>
    <row r="757" spans="65:70" x14ac:dyDescent="0.25">
      <c r="BM757" s="49"/>
      <c r="BN757" s="49"/>
      <c r="BO757" s="49"/>
      <c r="BP757" s="49"/>
      <c r="BQ757" s="49"/>
      <c r="BR757" s="49"/>
    </row>
    <row r="758" spans="65:70" x14ac:dyDescent="0.25">
      <c r="BM758" s="49"/>
      <c r="BN758" s="49"/>
      <c r="BO758" s="49"/>
      <c r="BP758" s="49"/>
      <c r="BQ758" s="49"/>
      <c r="BR758" s="49"/>
    </row>
    <row r="759" spans="65:70" x14ac:dyDescent="0.25">
      <c r="BM759" s="49"/>
      <c r="BN759" s="49"/>
      <c r="BO759" s="49"/>
      <c r="BP759" s="49"/>
      <c r="BQ759" s="49"/>
      <c r="BR759" s="49"/>
    </row>
    <row r="760" spans="65:70" x14ac:dyDescent="0.25">
      <c r="BM760" s="49"/>
      <c r="BN760" s="49"/>
      <c r="BO760" s="49"/>
      <c r="BP760" s="49"/>
      <c r="BQ760" s="49"/>
      <c r="BR760" s="49"/>
    </row>
    <row r="761" spans="65:70" x14ac:dyDescent="0.25">
      <c r="BM761" s="49"/>
      <c r="BN761" s="49"/>
      <c r="BO761" s="49"/>
      <c r="BP761" s="49"/>
      <c r="BQ761" s="49"/>
      <c r="BR761" s="49"/>
    </row>
    <row r="762" spans="65:70" x14ac:dyDescent="0.25">
      <c r="BM762" s="49"/>
      <c r="BN762" s="49"/>
      <c r="BO762" s="49"/>
      <c r="BP762" s="49"/>
      <c r="BQ762" s="49"/>
      <c r="BR762" s="49"/>
    </row>
    <row r="763" spans="65:70" x14ac:dyDescent="0.25">
      <c r="BM763" s="49"/>
      <c r="BN763" s="49"/>
      <c r="BO763" s="49"/>
      <c r="BP763" s="49"/>
      <c r="BQ763" s="49"/>
      <c r="BR763" s="49"/>
    </row>
    <row r="764" spans="65:70" x14ac:dyDescent="0.25">
      <c r="BM764" s="49"/>
      <c r="BN764" s="49"/>
      <c r="BO764" s="49"/>
      <c r="BP764" s="49"/>
      <c r="BQ764" s="49"/>
      <c r="BR764" s="49"/>
    </row>
    <row r="765" spans="65:70" x14ac:dyDescent="0.25">
      <c r="BM765" s="49"/>
      <c r="BN765" s="49"/>
      <c r="BO765" s="49"/>
      <c r="BP765" s="49"/>
      <c r="BQ765" s="49"/>
      <c r="BR765" s="49"/>
    </row>
    <row r="766" spans="65:70" x14ac:dyDescent="0.25">
      <c r="BM766" s="49"/>
      <c r="BN766" s="49"/>
      <c r="BO766" s="49"/>
      <c r="BP766" s="49"/>
      <c r="BQ766" s="49"/>
      <c r="BR766" s="49"/>
    </row>
    <row r="767" spans="65:70" x14ac:dyDescent="0.25">
      <c r="BM767" s="49"/>
      <c r="BN767" s="49"/>
      <c r="BO767" s="49"/>
      <c r="BP767" s="49"/>
      <c r="BQ767" s="49"/>
      <c r="BR767" s="49"/>
    </row>
    <row r="768" spans="65:70" x14ac:dyDescent="0.25">
      <c r="BM768" s="49"/>
      <c r="BN768" s="49"/>
      <c r="BO768" s="49"/>
      <c r="BP768" s="49"/>
      <c r="BQ768" s="49"/>
      <c r="BR768" s="49"/>
    </row>
    <row r="769" spans="65:70" x14ac:dyDescent="0.25">
      <c r="BM769" s="49"/>
      <c r="BN769" s="49"/>
      <c r="BO769" s="49"/>
      <c r="BP769" s="49"/>
      <c r="BQ769" s="49"/>
      <c r="BR769" s="49"/>
    </row>
    <row r="770" spans="65:70" x14ac:dyDescent="0.25">
      <c r="BM770" s="49"/>
      <c r="BN770" s="49"/>
      <c r="BO770" s="49"/>
      <c r="BP770" s="49"/>
      <c r="BQ770" s="49"/>
      <c r="BR770" s="49"/>
    </row>
    <row r="771" spans="65:70" x14ac:dyDescent="0.25">
      <c r="BM771" s="49"/>
      <c r="BN771" s="49"/>
      <c r="BO771" s="49"/>
      <c r="BP771" s="49"/>
      <c r="BQ771" s="49"/>
      <c r="BR771" s="49"/>
    </row>
    <row r="772" spans="65:70" x14ac:dyDescent="0.25">
      <c r="BM772" s="49"/>
      <c r="BN772" s="49"/>
      <c r="BO772" s="49"/>
      <c r="BP772" s="49"/>
      <c r="BQ772" s="49"/>
      <c r="BR772" s="49"/>
    </row>
    <row r="773" spans="65:70" x14ac:dyDescent="0.25">
      <c r="BM773" s="49"/>
      <c r="BN773" s="49"/>
      <c r="BO773" s="49"/>
      <c r="BP773" s="49"/>
      <c r="BQ773" s="49"/>
      <c r="BR773" s="49"/>
    </row>
    <row r="774" spans="65:70" x14ac:dyDescent="0.25">
      <c r="BM774" s="49"/>
      <c r="BN774" s="49"/>
      <c r="BO774" s="49"/>
      <c r="BP774" s="49"/>
      <c r="BQ774" s="49"/>
      <c r="BR774" s="49"/>
    </row>
    <row r="775" spans="65:70" x14ac:dyDescent="0.25">
      <c r="BM775" s="49"/>
      <c r="BN775" s="49"/>
      <c r="BO775" s="49"/>
      <c r="BP775" s="49"/>
      <c r="BQ775" s="49"/>
      <c r="BR775" s="49"/>
    </row>
    <row r="776" spans="65:70" x14ac:dyDescent="0.25">
      <c r="BM776" s="49"/>
      <c r="BN776" s="49"/>
      <c r="BO776" s="49"/>
      <c r="BP776" s="49"/>
      <c r="BQ776" s="49"/>
      <c r="BR776" s="49"/>
    </row>
    <row r="777" spans="65:70" x14ac:dyDescent="0.25">
      <c r="BM777" s="49"/>
      <c r="BN777" s="49"/>
      <c r="BO777" s="49"/>
      <c r="BP777" s="49"/>
      <c r="BQ777" s="49"/>
      <c r="BR777" s="49"/>
    </row>
    <row r="778" spans="65:70" x14ac:dyDescent="0.25">
      <c r="BM778" s="49"/>
      <c r="BN778" s="49"/>
      <c r="BO778" s="49"/>
      <c r="BP778" s="49"/>
      <c r="BQ778" s="49"/>
      <c r="BR778" s="49"/>
    </row>
    <row r="779" spans="65:70" x14ac:dyDescent="0.25">
      <c r="BM779" s="49"/>
      <c r="BN779" s="49"/>
      <c r="BO779" s="49"/>
      <c r="BP779" s="49"/>
      <c r="BQ779" s="49"/>
      <c r="BR779" s="49"/>
    </row>
    <row r="780" spans="65:70" x14ac:dyDescent="0.25">
      <c r="BM780" s="49"/>
      <c r="BN780" s="49"/>
      <c r="BO780" s="49"/>
      <c r="BP780" s="49"/>
      <c r="BQ780" s="49"/>
      <c r="BR780" s="49"/>
    </row>
    <row r="781" spans="65:70" x14ac:dyDescent="0.25">
      <c r="BM781" s="49"/>
      <c r="BN781" s="49"/>
      <c r="BO781" s="49"/>
      <c r="BP781" s="49"/>
      <c r="BQ781" s="49"/>
      <c r="BR781" s="49"/>
    </row>
    <row r="782" spans="65:70" x14ac:dyDescent="0.25">
      <c r="BM782" s="49"/>
      <c r="BN782" s="49"/>
      <c r="BO782" s="49"/>
      <c r="BP782" s="49"/>
      <c r="BQ782" s="49"/>
      <c r="BR782" s="49"/>
    </row>
    <row r="783" spans="65:70" x14ac:dyDescent="0.25">
      <c r="BM783" s="49"/>
      <c r="BN783" s="49"/>
      <c r="BO783" s="49"/>
      <c r="BP783" s="49"/>
      <c r="BQ783" s="49"/>
      <c r="BR783" s="49"/>
    </row>
    <row r="784" spans="65:70" x14ac:dyDescent="0.25">
      <c r="BM784" s="49"/>
      <c r="BN784" s="49"/>
      <c r="BO784" s="49"/>
      <c r="BP784" s="49"/>
      <c r="BQ784" s="49"/>
      <c r="BR784" s="49"/>
    </row>
    <row r="785" spans="65:70" x14ac:dyDescent="0.25">
      <c r="BM785" s="49"/>
      <c r="BN785" s="49"/>
      <c r="BO785" s="49"/>
      <c r="BP785" s="49"/>
      <c r="BQ785" s="49"/>
      <c r="BR785" s="49"/>
    </row>
    <row r="786" spans="65:70" x14ac:dyDescent="0.25">
      <c r="BM786" s="49"/>
      <c r="BN786" s="49"/>
      <c r="BO786" s="49"/>
      <c r="BP786" s="49"/>
      <c r="BQ786" s="49"/>
      <c r="BR786" s="49"/>
    </row>
    <row r="787" spans="65:70" x14ac:dyDescent="0.25">
      <c r="BM787" s="49"/>
      <c r="BN787" s="49"/>
      <c r="BO787" s="49"/>
      <c r="BP787" s="49"/>
      <c r="BQ787" s="49"/>
      <c r="BR787" s="49"/>
    </row>
    <row r="788" spans="65:70" x14ac:dyDescent="0.25">
      <c r="BM788" s="49"/>
      <c r="BN788" s="49"/>
      <c r="BO788" s="49"/>
      <c r="BP788" s="49"/>
      <c r="BQ788" s="49"/>
      <c r="BR788" s="49"/>
    </row>
    <row r="789" spans="65:70" x14ac:dyDescent="0.25">
      <c r="BM789" s="49"/>
      <c r="BN789" s="49"/>
      <c r="BO789" s="49"/>
      <c r="BP789" s="49"/>
      <c r="BQ789" s="49"/>
      <c r="BR789" s="49"/>
    </row>
    <row r="790" spans="65:70" x14ac:dyDescent="0.25">
      <c r="BM790" s="49"/>
      <c r="BN790" s="49"/>
      <c r="BO790" s="49"/>
      <c r="BP790" s="49"/>
      <c r="BQ790" s="49"/>
      <c r="BR790" s="49"/>
    </row>
    <row r="791" spans="65:70" x14ac:dyDescent="0.25">
      <c r="BM791" s="49"/>
      <c r="BN791" s="49"/>
      <c r="BO791" s="49"/>
      <c r="BP791" s="49"/>
      <c r="BQ791" s="49"/>
      <c r="BR791" s="49"/>
    </row>
    <row r="792" spans="65:70" x14ac:dyDescent="0.25">
      <c r="BM792" s="49"/>
      <c r="BN792" s="49"/>
      <c r="BO792" s="49"/>
      <c r="BP792" s="49"/>
      <c r="BQ792" s="49"/>
      <c r="BR792" s="49"/>
    </row>
    <row r="793" spans="65:70" x14ac:dyDescent="0.25">
      <c r="BM793" s="49"/>
      <c r="BN793" s="49"/>
      <c r="BO793" s="49"/>
      <c r="BP793" s="49"/>
      <c r="BQ793" s="49"/>
      <c r="BR793" s="49"/>
    </row>
    <row r="794" spans="65:70" x14ac:dyDescent="0.25">
      <c r="BM794" s="49"/>
      <c r="BN794" s="49"/>
      <c r="BO794" s="49"/>
      <c r="BP794" s="49"/>
      <c r="BQ794" s="49"/>
      <c r="BR794" s="49"/>
    </row>
    <row r="795" spans="65:70" x14ac:dyDescent="0.25">
      <c r="BM795" s="49"/>
      <c r="BN795" s="49"/>
      <c r="BO795" s="49"/>
      <c r="BP795" s="49"/>
      <c r="BQ795" s="49"/>
      <c r="BR795" s="49"/>
    </row>
    <row r="796" spans="65:70" x14ac:dyDescent="0.25">
      <c r="BM796" s="49"/>
      <c r="BN796" s="49"/>
      <c r="BO796" s="49"/>
      <c r="BP796" s="49"/>
      <c r="BQ796" s="49"/>
      <c r="BR796" s="49"/>
    </row>
    <row r="797" spans="65:70" x14ac:dyDescent="0.25">
      <c r="BM797" s="49"/>
      <c r="BN797" s="49"/>
      <c r="BO797" s="49"/>
      <c r="BP797" s="49"/>
      <c r="BQ797" s="49"/>
      <c r="BR797" s="49"/>
    </row>
    <row r="798" spans="65:70" x14ac:dyDescent="0.25">
      <c r="BM798" s="49"/>
      <c r="BN798" s="49"/>
      <c r="BO798" s="49"/>
      <c r="BP798" s="49"/>
      <c r="BQ798" s="49"/>
      <c r="BR798" s="49"/>
    </row>
    <row r="799" spans="65:70" x14ac:dyDescent="0.25">
      <c r="BM799" s="49"/>
      <c r="BN799" s="49"/>
      <c r="BO799" s="49"/>
      <c r="BP799" s="49"/>
      <c r="BQ799" s="49"/>
      <c r="BR799" s="49"/>
    </row>
  </sheetData>
  <mergeCells count="28">
    <mergeCell ref="BG6:BG8"/>
    <mergeCell ref="BH6:BH8"/>
    <mergeCell ref="BJ6:BJ8"/>
    <mergeCell ref="BK6:BK8"/>
    <mergeCell ref="AA3:AB3"/>
    <mergeCell ref="AD3:AG3"/>
    <mergeCell ref="AU3:AV3"/>
    <mergeCell ref="AX3:AY3"/>
    <mergeCell ref="BA3:BB3"/>
    <mergeCell ref="BJ3:BK3"/>
    <mergeCell ref="A6:A9"/>
    <mergeCell ref="S3:T3"/>
    <mergeCell ref="S2:Y2"/>
    <mergeCell ref="I2:Q2"/>
    <mergeCell ref="AR3:AS3"/>
    <mergeCell ref="AA2:AG2"/>
    <mergeCell ref="AI3:AK3"/>
    <mergeCell ref="AM3:AP3"/>
    <mergeCell ref="AI2:AP2"/>
    <mergeCell ref="I3:J3"/>
    <mergeCell ref="V3:Y3"/>
    <mergeCell ref="L3:Q3"/>
    <mergeCell ref="BM3:BR3"/>
    <mergeCell ref="BD3:BE3"/>
    <mergeCell ref="BG3:BH3"/>
    <mergeCell ref="C2:G2"/>
    <mergeCell ref="C3:G3"/>
    <mergeCell ref="BA2:BB2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3" manualBreakCount="3">
    <brk id="17" max="38" man="1"/>
    <brk id="33" max="38" man="1"/>
    <brk id="48" max="3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19"/>
  <sheetViews>
    <sheetView zoomScale="75" zoomScaleNormal="75" workbookViewId="0">
      <pane xSplit="1" ySplit="10" topLeftCell="H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customWidth="1"/>
    <col min="2" max="2" width="1.7109375" customWidth="1"/>
    <col min="3" max="6" width="14" customWidth="1"/>
    <col min="7" max="7" width="15" customWidth="1"/>
    <col min="8" max="8" width="1.7109375" customWidth="1"/>
    <col min="9" max="10" width="14" customWidth="1"/>
    <col min="11" max="11" width="1.7109375" customWidth="1"/>
    <col min="12" max="17" width="14" customWidth="1"/>
    <col min="18" max="18" width="1.7109375" customWidth="1"/>
    <col min="19" max="20" width="14" customWidth="1"/>
    <col min="21" max="21" width="1.7109375" customWidth="1"/>
    <col min="22" max="23" width="14" customWidth="1"/>
    <col min="24" max="24" width="1.7109375" customWidth="1"/>
    <col min="25" max="26" width="14" customWidth="1"/>
    <col min="27" max="27" width="1.7109375" customWidth="1"/>
    <col min="28" max="29" width="14" customWidth="1"/>
    <col min="30" max="30" width="17.5703125" customWidth="1"/>
    <col min="31" max="31" width="1.7109375" customWidth="1"/>
    <col min="32" max="33" width="14" customWidth="1"/>
    <col min="34" max="34" width="1.7109375" customWidth="1"/>
    <col min="35" max="36" width="14" customWidth="1"/>
    <col min="37" max="37" width="1.7109375" customWidth="1"/>
    <col min="38" max="38" width="14" customWidth="1"/>
    <col min="39" max="39" width="12.140625" customWidth="1"/>
    <col min="40" max="40" width="14.7109375" customWidth="1"/>
    <col min="41" max="41" width="1.7109375" customWidth="1"/>
    <col min="42" max="43" width="9.7109375" customWidth="1"/>
    <col min="44" max="44" width="1.7109375" customWidth="1"/>
    <col min="45" max="46" width="9.7109375" customWidth="1"/>
    <col min="47" max="47" width="1.7109375" customWidth="1"/>
    <col min="48" max="48" width="13.42578125" customWidth="1"/>
    <col min="49" max="50" width="9.5703125" customWidth="1"/>
    <col min="51" max="64" width="13.42578125" customWidth="1"/>
  </cols>
  <sheetData>
    <row r="2" spans="1:51" x14ac:dyDescent="0.25">
      <c r="C2" s="224"/>
      <c r="D2" s="225"/>
      <c r="E2" s="225"/>
      <c r="F2" s="225"/>
      <c r="G2" s="226"/>
      <c r="H2" s="132"/>
      <c r="I2" s="224" t="s">
        <v>1</v>
      </c>
      <c r="J2" s="225"/>
      <c r="K2" s="225"/>
      <c r="L2" s="225"/>
      <c r="M2" s="225"/>
      <c r="N2" s="225"/>
      <c r="O2" s="225"/>
      <c r="P2" s="225"/>
      <c r="Q2" s="226"/>
      <c r="R2" s="132"/>
      <c r="S2" s="80"/>
      <c r="T2" s="81"/>
      <c r="U2" s="132"/>
      <c r="V2" s="80"/>
      <c r="W2" s="81"/>
      <c r="X2" s="132"/>
      <c r="Y2" s="80"/>
      <c r="Z2" s="81"/>
      <c r="AA2" s="132"/>
      <c r="AB2" s="112"/>
      <c r="AC2" s="125"/>
      <c r="AD2" s="113"/>
      <c r="AE2" s="132"/>
      <c r="AF2" s="112"/>
      <c r="AG2" s="113"/>
      <c r="AH2" s="132"/>
      <c r="AI2" s="224" t="s">
        <v>147</v>
      </c>
      <c r="AJ2" s="226"/>
      <c r="AK2" s="132"/>
      <c r="AL2" s="224" t="s">
        <v>148</v>
      </c>
      <c r="AM2" s="225"/>
      <c r="AN2" s="226"/>
      <c r="AP2" s="80"/>
      <c r="AQ2" s="81"/>
      <c r="AR2" s="9"/>
      <c r="AS2" s="80"/>
      <c r="AT2" s="81"/>
      <c r="AV2" s="234" t="s">
        <v>5</v>
      </c>
      <c r="AW2" s="235"/>
      <c r="AX2" s="235"/>
      <c r="AY2" s="236"/>
    </row>
    <row r="3" spans="1:51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150"/>
      <c r="L3" s="227" t="s">
        <v>0</v>
      </c>
      <c r="M3" s="227"/>
      <c r="N3" s="227"/>
      <c r="O3" s="227"/>
      <c r="P3" s="227"/>
      <c r="Q3" s="223"/>
      <c r="R3" s="132"/>
      <c r="S3" s="222" t="s">
        <v>121</v>
      </c>
      <c r="T3" s="223"/>
      <c r="U3" s="132"/>
      <c r="V3" s="222" t="s">
        <v>122</v>
      </c>
      <c r="W3" s="223"/>
      <c r="X3" s="132"/>
      <c r="Y3" s="222" t="s">
        <v>125</v>
      </c>
      <c r="Z3" s="223"/>
      <c r="AA3" s="132"/>
      <c r="AB3" s="222" t="s">
        <v>226</v>
      </c>
      <c r="AC3" s="227"/>
      <c r="AD3" s="223"/>
      <c r="AE3" s="132"/>
      <c r="AF3" s="222" t="s">
        <v>147</v>
      </c>
      <c r="AG3" s="223"/>
      <c r="AH3" s="132"/>
      <c r="AI3" s="222" t="s">
        <v>356</v>
      </c>
      <c r="AJ3" s="223"/>
      <c r="AK3" s="132"/>
      <c r="AL3" s="222" t="s">
        <v>151</v>
      </c>
      <c r="AM3" s="227"/>
      <c r="AN3" s="223"/>
      <c r="AP3" s="222" t="s">
        <v>126</v>
      </c>
      <c r="AQ3" s="223"/>
      <c r="AR3" s="9"/>
      <c r="AS3" s="222" t="s">
        <v>127</v>
      </c>
      <c r="AT3" s="223"/>
      <c r="AV3" s="219"/>
      <c r="AW3" s="220"/>
      <c r="AX3" s="220"/>
      <c r="AY3" s="221"/>
    </row>
    <row r="4" spans="1:51" ht="5.0999999999999996" customHeight="1" thickBot="1" x14ac:dyDescent="0.3">
      <c r="C4" s="109"/>
      <c r="D4" s="110"/>
      <c r="E4" s="110"/>
      <c r="F4" s="110"/>
      <c r="G4" s="111"/>
      <c r="H4" s="132"/>
      <c r="I4" s="76"/>
      <c r="J4" s="71"/>
      <c r="K4" s="182"/>
      <c r="L4" s="127"/>
      <c r="M4" s="127"/>
      <c r="N4" s="127"/>
      <c r="O4" s="127"/>
      <c r="P4" s="127"/>
      <c r="Q4" s="128"/>
      <c r="R4" s="132"/>
      <c r="S4" s="114"/>
      <c r="T4" s="79"/>
      <c r="U4" s="132"/>
      <c r="V4" s="114"/>
      <c r="W4" s="79"/>
      <c r="X4" s="132"/>
      <c r="Y4" s="114"/>
      <c r="Z4" s="79"/>
      <c r="AA4" s="132"/>
      <c r="AB4" s="155"/>
      <c r="AC4" s="67"/>
      <c r="AD4" s="156"/>
      <c r="AE4" s="132"/>
      <c r="AF4" s="155"/>
      <c r="AG4" s="156"/>
      <c r="AH4" s="132"/>
      <c r="AI4" s="155"/>
      <c r="AJ4" s="156"/>
      <c r="AK4" s="132"/>
      <c r="AL4" s="155"/>
      <c r="AM4" s="67"/>
      <c r="AN4" s="156"/>
      <c r="AP4" s="75"/>
      <c r="AQ4" s="74"/>
      <c r="AR4" s="9"/>
      <c r="AS4" s="75"/>
      <c r="AT4" s="74"/>
      <c r="AV4" s="204"/>
      <c r="AW4" s="205"/>
      <c r="AX4" s="205"/>
      <c r="AY4" s="206"/>
    </row>
    <row r="5" spans="1:51" x14ac:dyDescent="0.25">
      <c r="C5" s="5"/>
      <c r="D5" s="8"/>
      <c r="E5" s="8"/>
      <c r="F5" s="8"/>
      <c r="G5" s="6"/>
      <c r="H5" s="132"/>
      <c r="I5" s="130"/>
      <c r="J5" s="153"/>
      <c r="K5" s="153"/>
      <c r="L5" s="153"/>
      <c r="M5" s="153"/>
      <c r="N5" s="153"/>
      <c r="O5" s="153"/>
      <c r="P5" s="153"/>
      <c r="Q5" s="131"/>
      <c r="R5" s="132"/>
      <c r="S5" s="130"/>
      <c r="T5" s="131"/>
      <c r="U5" s="132"/>
      <c r="V5" s="130"/>
      <c r="W5" s="131"/>
      <c r="X5" s="132"/>
      <c r="Y5" s="130"/>
      <c r="Z5" s="131"/>
      <c r="AA5" s="132"/>
      <c r="AB5" s="130"/>
      <c r="AC5" s="153"/>
      <c r="AD5" s="142" t="s">
        <v>313</v>
      </c>
      <c r="AE5" s="132"/>
      <c r="AF5" s="130"/>
      <c r="AG5" s="131"/>
      <c r="AH5" s="132"/>
      <c r="AI5" s="130"/>
      <c r="AJ5" s="131"/>
      <c r="AK5" s="132"/>
      <c r="AL5" s="130"/>
      <c r="AM5" s="8"/>
      <c r="AN5" s="6"/>
      <c r="AP5" s="10"/>
      <c r="AQ5" s="12"/>
      <c r="AR5" s="9"/>
      <c r="AS5" s="10"/>
      <c r="AT5" s="12"/>
      <c r="AV5" s="16"/>
      <c r="AW5" s="17"/>
      <c r="AX5" s="17"/>
      <c r="AY5" s="18"/>
    </row>
    <row r="6" spans="1:51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133" t="str">
        <f>+'Lead Sheet'!I6</f>
        <v>Michael</v>
      </c>
      <c r="J6" s="135" t="str">
        <f>+'Lead Sheet'!J6</f>
        <v>Yolanda E.</v>
      </c>
      <c r="K6" s="132"/>
      <c r="L6" s="135" t="str">
        <f>+'Lead Sheet'!L6</f>
        <v>Erik</v>
      </c>
      <c r="M6" s="135" t="str">
        <f>+'Lead Sheet'!M6</f>
        <v>Antwan</v>
      </c>
      <c r="N6" s="135" t="str">
        <f>+'Lead Sheet'!N6</f>
        <v>John P.</v>
      </c>
      <c r="O6" s="135" t="str">
        <f>+'Lead Sheet'!O6</f>
        <v>Julia L.</v>
      </c>
      <c r="P6" s="135" t="str">
        <f>+'Lead Sheet'!P6</f>
        <v>Michael</v>
      </c>
      <c r="Q6" s="134" t="str">
        <f>+'Lead Sheet'!Q6</f>
        <v>Jacob</v>
      </c>
      <c r="R6" s="132"/>
      <c r="S6" s="133" t="str">
        <f>+'Lead Sheet'!AR6</f>
        <v>Joseph J.</v>
      </c>
      <c r="T6" s="134" t="str">
        <f>+'Lead Sheet'!AS6</f>
        <v>Lisa</v>
      </c>
      <c r="U6" s="132"/>
      <c r="V6" s="133" t="str">
        <f>+'Lead Sheet'!AU6</f>
        <v>Frank X.</v>
      </c>
      <c r="W6" s="134" t="str">
        <f>+'Lead Sheet'!AV6</f>
        <v>Celeste</v>
      </c>
      <c r="X6" s="132"/>
      <c r="Y6" s="133" t="str">
        <f>+'Lead Sheet'!BD6</f>
        <v>James</v>
      </c>
      <c r="Z6" s="134" t="str">
        <f>+'Lead Sheet'!BE6</f>
        <v>Dr. William</v>
      </c>
      <c r="AA6" s="132"/>
      <c r="AB6" s="133" t="s">
        <v>358</v>
      </c>
      <c r="AC6" s="135" t="s">
        <v>183</v>
      </c>
      <c r="AD6" s="134" t="s">
        <v>360</v>
      </c>
      <c r="AE6" s="132"/>
      <c r="AF6" s="133" t="s">
        <v>364</v>
      </c>
      <c r="AG6" s="134" t="s">
        <v>183</v>
      </c>
      <c r="AH6" s="132"/>
      <c r="AI6" s="133" t="s">
        <v>366</v>
      </c>
      <c r="AJ6" s="134" t="s">
        <v>183</v>
      </c>
      <c r="AK6" s="132"/>
      <c r="AL6" s="133" t="s">
        <v>368</v>
      </c>
      <c r="AM6" s="7" t="s">
        <v>273</v>
      </c>
      <c r="AN6" s="21" t="s">
        <v>494</v>
      </c>
      <c r="AP6" s="229" t="s">
        <v>9</v>
      </c>
      <c r="AQ6" s="230" t="s">
        <v>10</v>
      </c>
      <c r="AR6" s="9"/>
      <c r="AS6" s="229" t="s">
        <v>9</v>
      </c>
      <c r="AT6" s="230" t="s">
        <v>10</v>
      </c>
      <c r="AV6" s="22" t="s">
        <v>8</v>
      </c>
      <c r="AW6" s="23" t="s">
        <v>8</v>
      </c>
      <c r="AX6" s="23" t="s">
        <v>8</v>
      </c>
      <c r="AY6" s="24" t="s">
        <v>8</v>
      </c>
    </row>
    <row r="7" spans="1:5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133" t="str">
        <f>+'Lead Sheet'!I7</f>
        <v>TESTA</v>
      </c>
      <c r="J7" s="135" t="str">
        <f>+'Lead Sheet'!J7</f>
        <v>GARCIA BALICKI</v>
      </c>
      <c r="K7" s="132"/>
      <c r="L7" s="135" t="str">
        <f>+'Lead Sheet'!L7</f>
        <v>SIMONSEN</v>
      </c>
      <c r="M7" s="135" t="str">
        <f>+'Lead Sheet'!M7</f>
        <v>McCLELLAN</v>
      </c>
      <c r="N7" s="135" t="str">
        <f>+'Lead Sheet'!N7</f>
        <v>CAPIZOLA, Jr.</v>
      </c>
      <c r="O7" s="135" t="str">
        <f>+'Lead Sheet'!O7</f>
        <v>HANKERSON</v>
      </c>
      <c r="P7" s="135" t="str">
        <f>+'Lead Sheet'!P7</f>
        <v>GALLO</v>
      </c>
      <c r="Q7" s="134" t="str">
        <f>+'Lead Sheet'!Q7</f>
        <v>SELWOOD</v>
      </c>
      <c r="R7" s="132"/>
      <c r="S7" s="133" t="str">
        <f>+'Lead Sheet'!AR7</f>
        <v>GIRALO</v>
      </c>
      <c r="T7" s="134" t="str">
        <f>+'Lead Sheet'!AS7</f>
        <v>JIAMPETTI</v>
      </c>
      <c r="U7" s="132"/>
      <c r="V7" s="133" t="str">
        <f>+'Lead Sheet'!AU7</f>
        <v>BALLES</v>
      </c>
      <c r="W7" s="134" t="str">
        <f>+'Lead Sheet'!AV7</f>
        <v>FERNANDEZ</v>
      </c>
      <c r="X7" s="132"/>
      <c r="Y7" s="133" t="str">
        <f>+'Lead Sheet'!BD7</f>
        <v>BERTINO</v>
      </c>
      <c r="Z7" s="134" t="str">
        <f>+'Lead Sheet'!BE7</f>
        <v>BEYERS</v>
      </c>
      <c r="AA7" s="132"/>
      <c r="AB7" s="133" t="s">
        <v>359</v>
      </c>
      <c r="AC7" s="135" t="s">
        <v>159</v>
      </c>
      <c r="AD7" s="134" t="s">
        <v>363</v>
      </c>
      <c r="AE7" s="132"/>
      <c r="AF7" s="133" t="s">
        <v>365</v>
      </c>
      <c r="AG7" s="134" t="s">
        <v>159</v>
      </c>
      <c r="AH7" s="132"/>
      <c r="AI7" s="133" t="s">
        <v>367</v>
      </c>
      <c r="AJ7" s="134" t="s">
        <v>159</v>
      </c>
      <c r="AK7" s="132"/>
      <c r="AL7" s="133" t="s">
        <v>369</v>
      </c>
      <c r="AM7" s="7" t="s">
        <v>370</v>
      </c>
      <c r="AN7" s="21" t="s">
        <v>638</v>
      </c>
      <c r="AP7" s="229"/>
      <c r="AQ7" s="230"/>
      <c r="AR7" s="9"/>
      <c r="AS7" s="229"/>
      <c r="AT7" s="230"/>
      <c r="AV7" s="22" t="s">
        <v>12</v>
      </c>
      <c r="AW7" s="23" t="s">
        <v>158</v>
      </c>
      <c r="AX7" s="23" t="s">
        <v>13</v>
      </c>
      <c r="AY7" s="24" t="s">
        <v>14</v>
      </c>
    </row>
    <row r="8" spans="1:51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133" t="str">
        <f>+'Lead Sheet'!I8</f>
        <v>Republican</v>
      </c>
      <c r="J8" s="135" t="str">
        <f>+'Lead Sheet'!J8</f>
        <v>Democrat</v>
      </c>
      <c r="K8" s="132"/>
      <c r="L8" s="135" t="str">
        <f>+'Lead Sheet'!L8</f>
        <v>Republican</v>
      </c>
      <c r="M8" s="135" t="str">
        <f>+'Lead Sheet'!M8</f>
        <v>Republican</v>
      </c>
      <c r="N8" s="135" t="str">
        <f>+'Lead Sheet'!N8</f>
        <v>Democrat</v>
      </c>
      <c r="O8" s="135" t="str">
        <f>+'Lead Sheet'!O8</f>
        <v>Democrat</v>
      </c>
      <c r="P8" s="135" t="str">
        <f>+'Lead Sheet'!P8</f>
        <v>Libertarian Party</v>
      </c>
      <c r="Q8" s="134" t="str">
        <f>+'Lead Sheet'!Q8</f>
        <v>Libertarian Party</v>
      </c>
      <c r="R8" s="132"/>
      <c r="S8" s="133" t="str">
        <f>+'Lead Sheet'!AR8</f>
        <v>Republican</v>
      </c>
      <c r="T8" s="134" t="str">
        <f>+'Lead Sheet'!AS8</f>
        <v>Democrat</v>
      </c>
      <c r="U8" s="132"/>
      <c r="V8" s="133" t="str">
        <f>+'Lead Sheet'!AU8</f>
        <v>Republican</v>
      </c>
      <c r="W8" s="134" t="str">
        <f>+'Lead Sheet'!AV8</f>
        <v>Democrat</v>
      </c>
      <c r="X8" s="132"/>
      <c r="Y8" s="133" t="str">
        <f>+'Lead Sheet'!BD8</f>
        <v>Republican</v>
      </c>
      <c r="Z8" s="134" t="str">
        <f>+'Lead Sheet'!BE8</f>
        <v>Democrat</v>
      </c>
      <c r="AA8" s="132"/>
      <c r="AB8" s="133" t="s">
        <v>16</v>
      </c>
      <c r="AC8" s="135" t="s">
        <v>59</v>
      </c>
      <c r="AD8" s="134" t="s">
        <v>362</v>
      </c>
      <c r="AE8" s="132"/>
      <c r="AF8" s="133" t="s">
        <v>16</v>
      </c>
      <c r="AG8" s="134" t="s">
        <v>59</v>
      </c>
      <c r="AH8" s="132"/>
      <c r="AI8" s="133" t="s">
        <v>16</v>
      </c>
      <c r="AJ8" s="134" t="s">
        <v>59</v>
      </c>
      <c r="AK8" s="132"/>
      <c r="AL8" s="133"/>
      <c r="AM8" s="7"/>
      <c r="AN8" s="21"/>
      <c r="AP8" s="229"/>
      <c r="AQ8" s="230"/>
      <c r="AR8" s="9"/>
      <c r="AS8" s="229"/>
      <c r="AT8" s="230"/>
      <c r="AV8" s="22" t="s">
        <v>18</v>
      </c>
      <c r="AW8" s="23" t="s">
        <v>145</v>
      </c>
      <c r="AX8" s="23" t="s">
        <v>19</v>
      </c>
      <c r="AY8" s="24" t="s">
        <v>18</v>
      </c>
    </row>
    <row r="9" spans="1:51" x14ac:dyDescent="0.25">
      <c r="C9" s="60"/>
      <c r="D9" s="31"/>
      <c r="E9" s="31"/>
      <c r="F9" s="31"/>
      <c r="G9" s="61" t="str">
        <f>+'Lead Sheet'!G9</f>
        <v>Party</v>
      </c>
      <c r="H9" s="132"/>
      <c r="I9" s="143"/>
      <c r="J9" s="132"/>
      <c r="K9" s="132"/>
      <c r="L9" s="132"/>
      <c r="M9" s="132"/>
      <c r="N9" s="132"/>
      <c r="O9" s="132"/>
      <c r="P9" s="132"/>
      <c r="Q9" s="144"/>
      <c r="R9" s="132"/>
      <c r="S9" s="143"/>
      <c r="T9" s="144"/>
      <c r="U9" s="132"/>
      <c r="V9" s="143"/>
      <c r="W9" s="144"/>
      <c r="X9" s="132"/>
      <c r="Y9" s="143"/>
      <c r="Z9" s="144"/>
      <c r="AA9" s="132"/>
      <c r="AB9" s="143"/>
      <c r="AC9" s="132"/>
      <c r="AD9" s="134" t="s">
        <v>361</v>
      </c>
      <c r="AE9" s="132"/>
      <c r="AF9" s="143"/>
      <c r="AG9" s="144"/>
      <c r="AH9" s="132"/>
      <c r="AI9" s="143"/>
      <c r="AJ9" s="144"/>
      <c r="AK9" s="132"/>
      <c r="AL9" s="143"/>
      <c r="AM9" s="7"/>
      <c r="AN9" s="21"/>
      <c r="AP9" s="27"/>
      <c r="AQ9" s="28"/>
      <c r="AR9" s="9"/>
      <c r="AS9" s="27"/>
      <c r="AT9" s="28"/>
      <c r="AV9" s="119"/>
      <c r="AW9" s="118"/>
      <c r="AX9" s="118"/>
      <c r="AY9" s="120"/>
    </row>
    <row r="10" spans="1:51" ht="5.0999999999999996" customHeight="1" thickBot="1" x14ac:dyDescent="0.3">
      <c r="C10" s="29"/>
      <c r="D10" s="32"/>
      <c r="E10" s="32"/>
      <c r="F10" s="32"/>
      <c r="G10" s="30"/>
      <c r="I10" s="136"/>
      <c r="J10" s="152"/>
      <c r="K10" s="152"/>
      <c r="L10" s="152"/>
      <c r="M10" s="152"/>
      <c r="N10" s="152"/>
      <c r="O10" s="152"/>
      <c r="P10" s="152"/>
      <c r="Q10" s="137"/>
      <c r="S10" s="136"/>
      <c r="T10" s="137"/>
      <c r="V10" s="136"/>
      <c r="W10" s="137"/>
      <c r="Y10" s="136"/>
      <c r="Z10" s="137"/>
      <c r="AB10" s="136"/>
      <c r="AC10" s="152"/>
      <c r="AD10" s="137"/>
      <c r="AF10" s="136"/>
      <c r="AG10" s="137"/>
      <c r="AI10" s="136"/>
      <c r="AJ10" s="137"/>
      <c r="AL10" s="136"/>
      <c r="AM10" s="152"/>
      <c r="AN10" s="137"/>
      <c r="AP10" s="36"/>
      <c r="AQ10" s="38"/>
      <c r="AR10" s="9"/>
      <c r="AS10" s="36"/>
      <c r="AT10" s="38"/>
      <c r="AV10" s="33"/>
      <c r="AW10" s="34"/>
      <c r="AX10" s="34"/>
      <c r="AY10" s="35"/>
    </row>
    <row r="11" spans="1:51" x14ac:dyDescent="0.25">
      <c r="A11" t="s">
        <v>28</v>
      </c>
      <c r="C11" s="40">
        <v>545</v>
      </c>
      <c r="D11" s="40">
        <v>139</v>
      </c>
      <c r="E11" s="40">
        <v>6</v>
      </c>
      <c r="F11" s="40">
        <v>6</v>
      </c>
      <c r="G11" s="40">
        <v>0</v>
      </c>
      <c r="I11" s="59">
        <v>545</v>
      </c>
      <c r="J11" s="59">
        <v>120</v>
      </c>
      <c r="L11" s="59">
        <v>522</v>
      </c>
      <c r="M11" s="59">
        <v>512</v>
      </c>
      <c r="N11" s="59">
        <v>130</v>
      </c>
      <c r="O11" s="59">
        <v>126</v>
      </c>
      <c r="P11" s="59">
        <v>7</v>
      </c>
      <c r="Q11" s="59">
        <v>9</v>
      </c>
      <c r="S11" s="40">
        <v>505</v>
      </c>
      <c r="T11" s="40">
        <v>148</v>
      </c>
      <c r="V11" s="40">
        <v>524</v>
      </c>
      <c r="W11" s="40">
        <v>123</v>
      </c>
      <c r="Y11" s="40">
        <v>509</v>
      </c>
      <c r="Z11" s="40">
        <v>121</v>
      </c>
      <c r="AB11" s="59">
        <v>382</v>
      </c>
      <c r="AC11" s="59"/>
      <c r="AD11" s="59">
        <v>303</v>
      </c>
      <c r="AF11" s="59">
        <v>526</v>
      </c>
      <c r="AG11" s="59"/>
      <c r="AI11" s="59">
        <v>528</v>
      </c>
      <c r="AJ11" s="59"/>
      <c r="AL11" s="59">
        <v>400</v>
      </c>
      <c r="AM11" s="59">
        <v>389</v>
      </c>
      <c r="AN11" s="59">
        <f>2</f>
        <v>2</v>
      </c>
      <c r="AP11" s="40">
        <v>237</v>
      </c>
      <c r="AQ11" s="40">
        <v>380</v>
      </c>
      <c r="AS11" s="40">
        <v>370</v>
      </c>
      <c r="AT11" s="40">
        <v>241</v>
      </c>
      <c r="AV11" s="42">
        <v>708</v>
      </c>
      <c r="AW11" s="42">
        <v>41</v>
      </c>
      <c r="AX11" s="42">
        <v>104</v>
      </c>
      <c r="AY11" s="42">
        <v>18</v>
      </c>
    </row>
    <row r="12" spans="1:51" ht="15.75" thickBot="1" x14ac:dyDescent="0.3"/>
    <row r="13" spans="1:51" ht="15.75" thickBot="1" x14ac:dyDescent="0.3">
      <c r="A13" s="50" t="s">
        <v>8</v>
      </c>
      <c r="B13" s="1"/>
      <c r="C13" s="51">
        <f>+C11</f>
        <v>545</v>
      </c>
      <c r="D13" s="51">
        <f t="shared" ref="D13:O13" si="0">+D11</f>
        <v>139</v>
      </c>
      <c r="E13" s="51">
        <f t="shared" si="0"/>
        <v>6</v>
      </c>
      <c r="F13" s="51">
        <f t="shared" si="0"/>
        <v>6</v>
      </c>
      <c r="G13" s="51">
        <f t="shared" si="0"/>
        <v>0</v>
      </c>
      <c r="I13" s="51">
        <f t="shared" si="0"/>
        <v>545</v>
      </c>
      <c r="J13" s="51">
        <f t="shared" si="0"/>
        <v>120</v>
      </c>
      <c r="L13" s="51">
        <f t="shared" si="0"/>
        <v>522</v>
      </c>
      <c r="M13" s="51">
        <f t="shared" si="0"/>
        <v>512</v>
      </c>
      <c r="N13" s="51">
        <f t="shared" si="0"/>
        <v>130</v>
      </c>
      <c r="O13" s="51">
        <f t="shared" si="0"/>
        <v>126</v>
      </c>
      <c r="P13" s="51">
        <f t="shared" ref="P13:AQ13" si="1">+P11</f>
        <v>7</v>
      </c>
      <c r="Q13" s="51">
        <f t="shared" si="1"/>
        <v>9</v>
      </c>
      <c r="S13" s="51">
        <f t="shared" si="1"/>
        <v>505</v>
      </c>
      <c r="T13" s="51">
        <f t="shared" si="1"/>
        <v>148</v>
      </c>
      <c r="V13" s="51">
        <f t="shared" si="1"/>
        <v>524</v>
      </c>
      <c r="W13" s="51">
        <f t="shared" si="1"/>
        <v>123</v>
      </c>
      <c r="Y13" s="51">
        <f t="shared" si="1"/>
        <v>509</v>
      </c>
      <c r="Z13" s="51">
        <f t="shared" si="1"/>
        <v>121</v>
      </c>
      <c r="AB13" s="51">
        <f t="shared" si="1"/>
        <v>382</v>
      </c>
      <c r="AC13" s="51">
        <f t="shared" si="1"/>
        <v>0</v>
      </c>
      <c r="AD13" s="51">
        <f t="shared" si="1"/>
        <v>303</v>
      </c>
      <c r="AF13" s="51">
        <f t="shared" ref="AF13:AG13" si="2">+AF11</f>
        <v>526</v>
      </c>
      <c r="AG13" s="51">
        <f t="shared" si="2"/>
        <v>0</v>
      </c>
      <c r="AI13" s="51">
        <f t="shared" si="1"/>
        <v>528</v>
      </c>
      <c r="AJ13" s="51">
        <f t="shared" si="1"/>
        <v>0</v>
      </c>
      <c r="AL13" s="51">
        <f t="shared" ref="AL13" si="3">+AL11</f>
        <v>400</v>
      </c>
      <c r="AM13" s="51">
        <f>+AM11</f>
        <v>389</v>
      </c>
      <c r="AN13" s="51">
        <f>+AN11</f>
        <v>2</v>
      </c>
      <c r="AP13" s="51">
        <f>+AP11</f>
        <v>237</v>
      </c>
      <c r="AQ13" s="51">
        <f t="shared" si="1"/>
        <v>380</v>
      </c>
      <c r="AS13" s="51">
        <f>+AS11</f>
        <v>370</v>
      </c>
      <c r="AT13" s="51">
        <f>+AT11</f>
        <v>241</v>
      </c>
      <c r="AV13" s="51">
        <f t="shared" ref="AV13:AY13" si="4">+AV11</f>
        <v>708</v>
      </c>
      <c r="AW13" s="51">
        <f t="shared" si="4"/>
        <v>41</v>
      </c>
      <c r="AX13" s="51">
        <f t="shared" si="4"/>
        <v>104</v>
      </c>
      <c r="AY13" s="51">
        <f t="shared" si="4"/>
        <v>18</v>
      </c>
    </row>
    <row r="14" spans="1:51" x14ac:dyDescent="0.25">
      <c r="A14" s="92" t="s">
        <v>146</v>
      </c>
      <c r="B14" s="1"/>
      <c r="C14" s="53">
        <v>23</v>
      </c>
      <c r="D14" s="53">
        <v>18</v>
      </c>
      <c r="E14" s="53">
        <v>0</v>
      </c>
      <c r="F14" s="53">
        <v>0</v>
      </c>
      <c r="G14" s="53">
        <v>0</v>
      </c>
      <c r="H14" s="138"/>
      <c r="I14" s="53">
        <v>24</v>
      </c>
      <c r="J14" s="53">
        <v>15</v>
      </c>
      <c r="K14" s="138"/>
      <c r="L14" s="53">
        <v>23</v>
      </c>
      <c r="M14" s="53">
        <v>23</v>
      </c>
      <c r="N14" s="53">
        <v>14</v>
      </c>
      <c r="O14" s="53">
        <v>14</v>
      </c>
      <c r="P14" s="53">
        <v>1</v>
      </c>
      <c r="Q14" s="53">
        <v>0</v>
      </c>
      <c r="R14" s="138"/>
      <c r="S14" s="53">
        <v>23</v>
      </c>
      <c r="T14" s="53">
        <v>16</v>
      </c>
      <c r="U14" s="138"/>
      <c r="V14" s="53">
        <v>24</v>
      </c>
      <c r="W14" s="53">
        <v>14</v>
      </c>
      <c r="X14" s="138"/>
      <c r="Y14" s="53">
        <v>26</v>
      </c>
      <c r="Z14" s="53">
        <v>13</v>
      </c>
      <c r="AA14" s="138"/>
      <c r="AB14" s="53">
        <v>20</v>
      </c>
      <c r="AC14" s="53"/>
      <c r="AD14" s="53">
        <v>16</v>
      </c>
      <c r="AE14" s="138"/>
      <c r="AF14" s="53">
        <v>26</v>
      </c>
      <c r="AG14" s="53"/>
      <c r="AH14" s="138"/>
      <c r="AI14" s="53">
        <v>26</v>
      </c>
      <c r="AJ14" s="53"/>
      <c r="AK14" s="138"/>
      <c r="AL14" s="53">
        <v>22</v>
      </c>
      <c r="AM14" s="53">
        <v>20</v>
      </c>
      <c r="AN14" s="53">
        <v>0</v>
      </c>
      <c r="AP14" s="53">
        <v>14</v>
      </c>
      <c r="AQ14" s="53">
        <v>23</v>
      </c>
      <c r="AS14" s="53">
        <v>26</v>
      </c>
      <c r="AT14" s="53">
        <v>10</v>
      </c>
    </row>
    <row r="15" spans="1:51" x14ac:dyDescent="0.25">
      <c r="A15" s="92" t="s">
        <v>43</v>
      </c>
      <c r="B15" s="1"/>
      <c r="C15" s="41">
        <v>56</v>
      </c>
      <c r="D15" s="41">
        <v>44</v>
      </c>
      <c r="E15" s="41">
        <v>1</v>
      </c>
      <c r="F15" s="41">
        <v>3</v>
      </c>
      <c r="G15" s="41">
        <v>0</v>
      </c>
      <c r="H15" s="138"/>
      <c r="I15" s="41">
        <v>60</v>
      </c>
      <c r="J15" s="41">
        <v>42</v>
      </c>
      <c r="K15" s="138"/>
      <c r="L15" s="41">
        <v>58</v>
      </c>
      <c r="M15" s="41">
        <v>58</v>
      </c>
      <c r="N15" s="41">
        <v>44</v>
      </c>
      <c r="O15" s="41">
        <v>42</v>
      </c>
      <c r="P15" s="41">
        <v>1</v>
      </c>
      <c r="Q15" s="41">
        <v>1</v>
      </c>
      <c r="R15" s="138"/>
      <c r="S15" s="41">
        <v>57</v>
      </c>
      <c r="T15" s="41">
        <v>45</v>
      </c>
      <c r="U15" s="138"/>
      <c r="V15" s="41">
        <v>64</v>
      </c>
      <c r="W15" s="41">
        <v>39</v>
      </c>
      <c r="X15" s="138"/>
      <c r="Y15" s="41">
        <v>56</v>
      </c>
      <c r="Z15" s="41">
        <v>42</v>
      </c>
      <c r="AA15" s="138"/>
      <c r="AB15" s="41">
        <v>66</v>
      </c>
      <c r="AC15" s="41"/>
      <c r="AD15" s="41">
        <v>37</v>
      </c>
      <c r="AE15" s="138"/>
      <c r="AF15" s="41">
        <v>73</v>
      </c>
      <c r="AG15" s="41"/>
      <c r="AH15" s="138"/>
      <c r="AI15" s="41">
        <v>73</v>
      </c>
      <c r="AJ15" s="41"/>
      <c r="AK15" s="138"/>
      <c r="AL15" s="41">
        <v>70</v>
      </c>
      <c r="AM15" s="41">
        <v>71</v>
      </c>
      <c r="AN15" s="41">
        <v>0</v>
      </c>
      <c r="AP15" s="41">
        <v>44</v>
      </c>
      <c r="AQ15" s="41">
        <v>58</v>
      </c>
      <c r="AS15" s="41">
        <v>75</v>
      </c>
      <c r="AT15" s="41">
        <v>27</v>
      </c>
    </row>
    <row r="16" spans="1:51" s="191" customFormat="1" x14ac:dyDescent="0.25">
      <c r="A16" s="94" t="s">
        <v>644</v>
      </c>
      <c r="B16" s="192"/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 s="138"/>
      <c r="I16" s="95">
        <v>0</v>
      </c>
      <c r="J16" s="95">
        <v>0</v>
      </c>
      <c r="K16" s="138"/>
      <c r="L16" s="95">
        <v>0</v>
      </c>
      <c r="M16" s="95">
        <v>0</v>
      </c>
      <c r="N16" s="95">
        <v>0</v>
      </c>
      <c r="O16" s="95">
        <v>0</v>
      </c>
      <c r="P16" s="95">
        <v>0</v>
      </c>
      <c r="Q16" s="95">
        <v>0</v>
      </c>
      <c r="R16" s="138"/>
      <c r="S16" s="95">
        <v>0</v>
      </c>
      <c r="T16" s="95">
        <v>0</v>
      </c>
      <c r="U16" s="138"/>
      <c r="V16" s="95">
        <v>0</v>
      </c>
      <c r="W16" s="95">
        <v>0</v>
      </c>
      <c r="X16" s="138"/>
      <c r="Y16" s="95">
        <v>0</v>
      </c>
      <c r="Z16" s="95">
        <v>0</v>
      </c>
      <c r="AA16" s="138"/>
      <c r="AB16" s="95">
        <v>0</v>
      </c>
      <c r="AC16" s="95"/>
      <c r="AD16" s="95">
        <v>0</v>
      </c>
      <c r="AE16" s="138"/>
      <c r="AF16" s="95">
        <v>0</v>
      </c>
      <c r="AG16" s="95"/>
      <c r="AH16" s="138"/>
      <c r="AI16" s="95">
        <v>0</v>
      </c>
      <c r="AJ16" s="95"/>
      <c r="AK16" s="138"/>
      <c r="AL16" s="95">
        <v>0</v>
      </c>
      <c r="AM16" s="95">
        <v>0</v>
      </c>
      <c r="AN16" s="95">
        <v>0</v>
      </c>
      <c r="AP16" s="95">
        <v>0</v>
      </c>
      <c r="AQ16" s="95">
        <v>0</v>
      </c>
      <c r="AS16" s="95">
        <v>0</v>
      </c>
      <c r="AT16" s="95">
        <v>0</v>
      </c>
    </row>
    <row r="17" spans="1:46" x14ac:dyDescent="0.25">
      <c r="A17" s="94" t="s">
        <v>645</v>
      </c>
      <c r="B17" s="1"/>
      <c r="C17" s="95">
        <v>9</v>
      </c>
      <c r="D17" s="95">
        <v>7</v>
      </c>
      <c r="E17" s="95">
        <v>2</v>
      </c>
      <c r="F17" s="95">
        <v>0</v>
      </c>
      <c r="G17" s="95">
        <v>0</v>
      </c>
      <c r="H17" s="138"/>
      <c r="I17" s="95">
        <v>9</v>
      </c>
      <c r="J17" s="95">
        <v>7</v>
      </c>
      <c r="K17" s="138"/>
      <c r="L17" s="95">
        <v>8</v>
      </c>
      <c r="M17" s="95">
        <v>8</v>
      </c>
      <c r="N17" s="95">
        <v>6</v>
      </c>
      <c r="O17" s="95">
        <v>5</v>
      </c>
      <c r="P17" s="95">
        <v>2</v>
      </c>
      <c r="Q17" s="95">
        <v>2</v>
      </c>
      <c r="R17" s="138"/>
      <c r="S17" s="95">
        <v>8</v>
      </c>
      <c r="T17" s="95">
        <v>7</v>
      </c>
      <c r="U17" s="138"/>
      <c r="V17" s="95">
        <v>8</v>
      </c>
      <c r="W17" s="95">
        <v>7</v>
      </c>
      <c r="X17" s="138"/>
      <c r="Y17" s="95">
        <v>8</v>
      </c>
      <c r="Z17" s="95">
        <v>6</v>
      </c>
      <c r="AA17" s="138"/>
      <c r="AB17" s="95">
        <v>6</v>
      </c>
      <c r="AC17" s="95"/>
      <c r="AD17" s="95">
        <v>12</v>
      </c>
      <c r="AE17" s="138"/>
      <c r="AF17" s="95">
        <v>10</v>
      </c>
      <c r="AG17" s="95"/>
      <c r="AH17" s="138"/>
      <c r="AI17" s="95">
        <v>10</v>
      </c>
      <c r="AJ17" s="95"/>
      <c r="AK17" s="138"/>
      <c r="AL17" s="95">
        <v>11</v>
      </c>
      <c r="AM17" s="95">
        <v>13</v>
      </c>
      <c r="AN17" s="95">
        <v>0</v>
      </c>
      <c r="AP17" s="95">
        <v>8</v>
      </c>
      <c r="AQ17" s="95">
        <v>7</v>
      </c>
      <c r="AS17" s="95">
        <v>9</v>
      </c>
      <c r="AT17" s="95">
        <v>6</v>
      </c>
    </row>
    <row r="18" spans="1:46" s="191" customFormat="1" ht="15.75" thickBot="1" x14ac:dyDescent="0.3">
      <c r="A18" s="94" t="s">
        <v>651</v>
      </c>
      <c r="B18" s="192"/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 s="138"/>
      <c r="I18" s="95">
        <v>0</v>
      </c>
      <c r="J18" s="95">
        <v>0</v>
      </c>
      <c r="K18" s="138"/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138"/>
      <c r="S18" s="95">
        <v>0</v>
      </c>
      <c r="T18" s="95">
        <v>0</v>
      </c>
      <c r="U18" s="138"/>
      <c r="V18" s="95">
        <v>0</v>
      </c>
      <c r="W18" s="95">
        <v>0</v>
      </c>
      <c r="X18" s="138"/>
      <c r="Y18" s="95">
        <v>0</v>
      </c>
      <c r="Z18" s="95">
        <v>0</v>
      </c>
      <c r="AA18" s="138"/>
      <c r="AB18" s="95">
        <v>0</v>
      </c>
      <c r="AC18" s="95" t="s">
        <v>258</v>
      </c>
      <c r="AD18" s="95">
        <v>0</v>
      </c>
      <c r="AE18" s="138"/>
      <c r="AF18" s="95">
        <v>0</v>
      </c>
      <c r="AG18" s="95"/>
      <c r="AH18" s="138"/>
      <c r="AI18" s="95">
        <v>0</v>
      </c>
      <c r="AJ18" s="95"/>
      <c r="AK18" s="138"/>
      <c r="AL18" s="95">
        <v>0</v>
      </c>
      <c r="AM18" s="95">
        <v>0</v>
      </c>
      <c r="AN18" s="95">
        <v>0</v>
      </c>
      <c r="AP18" s="95">
        <v>0</v>
      </c>
      <c r="AQ18" s="95">
        <v>0</v>
      </c>
      <c r="AS18" s="95">
        <v>0</v>
      </c>
      <c r="AT18" s="95">
        <v>0</v>
      </c>
    </row>
    <row r="19" spans="1:46" ht="15.75" thickBot="1" x14ac:dyDescent="0.3">
      <c r="A19" s="50" t="s">
        <v>45</v>
      </c>
      <c r="B19" s="1"/>
      <c r="C19" s="51">
        <f>+SUM(C13:C18)</f>
        <v>633</v>
      </c>
      <c r="D19" s="51">
        <f t="shared" ref="D19:G19" si="5">+SUM(D13:D18)</f>
        <v>208</v>
      </c>
      <c r="E19" s="51">
        <f t="shared" si="5"/>
        <v>9</v>
      </c>
      <c r="F19" s="51">
        <f t="shared" si="5"/>
        <v>9</v>
      </c>
      <c r="G19" s="51">
        <f t="shared" si="5"/>
        <v>0</v>
      </c>
      <c r="I19" s="51">
        <f t="shared" ref="I19:J19" si="6">+SUM(I13:I18)</f>
        <v>638</v>
      </c>
      <c r="J19" s="51">
        <f t="shared" si="6"/>
        <v>184</v>
      </c>
      <c r="L19" s="51">
        <f t="shared" ref="L19:Q19" si="7">+SUM(L13:L18)</f>
        <v>611</v>
      </c>
      <c r="M19" s="51">
        <f t="shared" si="7"/>
        <v>601</v>
      </c>
      <c r="N19" s="51">
        <f t="shared" si="7"/>
        <v>194</v>
      </c>
      <c r="O19" s="51">
        <f t="shared" si="7"/>
        <v>187</v>
      </c>
      <c r="P19" s="51">
        <f t="shared" si="7"/>
        <v>11</v>
      </c>
      <c r="Q19" s="51">
        <f t="shared" si="7"/>
        <v>12</v>
      </c>
      <c r="S19" s="51">
        <f t="shared" ref="S19:T19" si="8">+SUM(S13:S18)</f>
        <v>593</v>
      </c>
      <c r="T19" s="51">
        <f t="shared" si="8"/>
        <v>216</v>
      </c>
      <c r="V19" s="51">
        <f t="shared" ref="V19:W19" si="9">+SUM(V13:V18)</f>
        <v>620</v>
      </c>
      <c r="W19" s="51">
        <f t="shared" si="9"/>
        <v>183</v>
      </c>
      <c r="Y19" s="51">
        <f t="shared" ref="Y19:Z19" si="10">+SUM(Y13:Y18)</f>
        <v>599</v>
      </c>
      <c r="Z19" s="51">
        <f t="shared" si="10"/>
        <v>182</v>
      </c>
      <c r="AB19" s="51">
        <f>+SUM(AB13:AB18)</f>
        <v>474</v>
      </c>
      <c r="AC19" s="51">
        <f>+SUM(AC13:AC18)</f>
        <v>0</v>
      </c>
      <c r="AD19" s="51">
        <f>+SUM(AD13:AD18)</f>
        <v>368</v>
      </c>
      <c r="AF19" s="51">
        <f t="shared" ref="AF19:AG19" si="11">+SUM(AF13:AF18)</f>
        <v>635</v>
      </c>
      <c r="AG19" s="51">
        <f t="shared" si="11"/>
        <v>0</v>
      </c>
      <c r="AI19" s="51">
        <f t="shared" ref="AI19:AJ19" si="12">+SUM(AI13:AI18)</f>
        <v>637</v>
      </c>
      <c r="AJ19" s="51">
        <f t="shared" si="12"/>
        <v>0</v>
      </c>
      <c r="AL19" s="51">
        <f t="shared" ref="AL19:AN19" si="13">+SUM(AL13:AL18)</f>
        <v>503</v>
      </c>
      <c r="AM19" s="51">
        <f t="shared" si="13"/>
        <v>493</v>
      </c>
      <c r="AN19" s="51">
        <f t="shared" si="13"/>
        <v>2</v>
      </c>
      <c r="AP19" s="51">
        <f t="shared" ref="AP19:AQ19" si="14">+SUM(AP13:AP18)</f>
        <v>303</v>
      </c>
      <c r="AQ19" s="51">
        <f t="shared" si="14"/>
        <v>468</v>
      </c>
      <c r="AS19" s="51">
        <f t="shared" ref="AS19:AT19" si="15">+SUM(AS13:AS18)</f>
        <v>480</v>
      </c>
      <c r="AT19" s="51">
        <f t="shared" si="15"/>
        <v>284</v>
      </c>
    </row>
  </sheetData>
  <mergeCells count="21">
    <mergeCell ref="AV2:AY3"/>
    <mergeCell ref="AP3:AQ3"/>
    <mergeCell ref="AS3:AT3"/>
    <mergeCell ref="AP6:AP8"/>
    <mergeCell ref="AQ6:AQ8"/>
    <mergeCell ref="AS6:AS8"/>
    <mergeCell ref="AT6:AT8"/>
    <mergeCell ref="AB3:AD3"/>
    <mergeCell ref="AF3:AG3"/>
    <mergeCell ref="AI2:AJ2"/>
    <mergeCell ref="AI3:AJ3"/>
    <mergeCell ref="AL3:AN3"/>
    <mergeCell ref="AL2:AN2"/>
    <mergeCell ref="S3:T3"/>
    <mergeCell ref="V3:W3"/>
    <mergeCell ref="Y3:Z3"/>
    <mergeCell ref="C2:G2"/>
    <mergeCell ref="I2:Q2"/>
    <mergeCell ref="C3:G3"/>
    <mergeCell ref="I3:J3"/>
    <mergeCell ref="L3:Q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7" max="1048575" man="1"/>
    <brk id="3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19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customWidth="1"/>
    <col min="2" max="2" width="1.7109375" customWidth="1"/>
    <col min="3" max="6" width="14" customWidth="1"/>
    <col min="7" max="7" width="15.7109375" customWidth="1"/>
    <col min="8" max="8" width="1.7109375" customWidth="1"/>
    <col min="9" max="10" width="14" customWidth="1"/>
    <col min="11" max="11" width="1.7109375" customWidth="1"/>
    <col min="12" max="15" width="14" customWidth="1"/>
    <col min="16" max="16" width="1.7109375" customWidth="1"/>
    <col min="17" max="18" width="14" customWidth="1"/>
    <col min="19" max="19" width="1.7109375" customWidth="1"/>
    <col min="20" max="21" width="12.7109375" customWidth="1"/>
    <col min="22" max="22" width="1.7109375" customWidth="1"/>
    <col min="23" max="24" width="12.7109375" customWidth="1"/>
    <col min="25" max="25" width="1.7109375" customWidth="1"/>
    <col min="26" max="29" width="12.7109375" customWidth="1"/>
    <col min="30" max="30" width="1.7109375" customWidth="1"/>
    <col min="31" max="33" width="12.7109375" customWidth="1"/>
    <col min="34" max="34" width="1.7109375" customWidth="1"/>
    <col min="35" max="36" width="9.7109375" customWidth="1"/>
    <col min="37" max="37" width="1.7109375" customWidth="1"/>
    <col min="38" max="39" width="9.7109375" customWidth="1"/>
    <col min="40" max="40" width="1.7109375" customWidth="1"/>
    <col min="41" max="41" width="13.42578125" customWidth="1"/>
    <col min="42" max="43" width="9.5703125" customWidth="1"/>
    <col min="44" max="68" width="13.42578125" customWidth="1"/>
  </cols>
  <sheetData>
    <row r="2" spans="1:44" x14ac:dyDescent="0.25">
      <c r="C2" s="224"/>
      <c r="D2" s="225"/>
      <c r="E2" s="225"/>
      <c r="F2" s="225"/>
      <c r="G2" s="226"/>
      <c r="H2" s="132"/>
      <c r="I2" s="224" t="s">
        <v>2</v>
      </c>
      <c r="J2" s="225"/>
      <c r="K2" s="225"/>
      <c r="L2" s="225"/>
      <c r="M2" s="225"/>
      <c r="N2" s="225"/>
      <c r="O2" s="226"/>
      <c r="P2" s="132"/>
      <c r="Q2" s="80"/>
      <c r="R2" s="81"/>
      <c r="S2" s="132"/>
      <c r="T2" s="80"/>
      <c r="U2" s="81"/>
      <c r="V2" s="132"/>
      <c r="W2" s="80"/>
      <c r="X2" s="81"/>
      <c r="Y2" s="132"/>
      <c r="Z2" s="112"/>
      <c r="AA2" s="125"/>
      <c r="AB2" s="125"/>
      <c r="AC2" s="113"/>
      <c r="AE2" s="224" t="s">
        <v>148</v>
      </c>
      <c r="AF2" s="225"/>
      <c r="AG2" s="226"/>
      <c r="AI2" s="80"/>
      <c r="AJ2" s="81"/>
      <c r="AK2" s="9"/>
      <c r="AL2" s="80"/>
      <c r="AM2" s="81"/>
      <c r="AO2" s="234" t="s">
        <v>5</v>
      </c>
      <c r="AP2" s="235"/>
      <c r="AQ2" s="235"/>
      <c r="AR2" s="236"/>
    </row>
    <row r="3" spans="1:44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150"/>
      <c r="L3" s="227" t="s">
        <v>0</v>
      </c>
      <c r="M3" s="227"/>
      <c r="N3" s="227"/>
      <c r="O3" s="223"/>
      <c r="P3" s="132"/>
      <c r="Q3" s="222" t="s">
        <v>121</v>
      </c>
      <c r="R3" s="223"/>
      <c r="S3" s="132"/>
      <c r="T3" s="222" t="s">
        <v>122</v>
      </c>
      <c r="U3" s="223"/>
      <c r="V3" s="132"/>
      <c r="W3" s="222" t="s">
        <v>125</v>
      </c>
      <c r="X3" s="223"/>
      <c r="Y3" s="132"/>
      <c r="Z3" s="222" t="s">
        <v>147</v>
      </c>
      <c r="AA3" s="227"/>
      <c r="AB3" s="227"/>
      <c r="AC3" s="223"/>
      <c r="AE3" s="222" t="s">
        <v>151</v>
      </c>
      <c r="AF3" s="227"/>
      <c r="AG3" s="223"/>
      <c r="AI3" s="222" t="s">
        <v>126</v>
      </c>
      <c r="AJ3" s="223"/>
      <c r="AK3" s="9"/>
      <c r="AL3" s="222" t="s">
        <v>127</v>
      </c>
      <c r="AM3" s="223"/>
      <c r="AO3" s="219"/>
      <c r="AP3" s="220"/>
      <c r="AQ3" s="220"/>
      <c r="AR3" s="221"/>
    </row>
    <row r="4" spans="1:44" ht="5.0999999999999996" customHeight="1" thickBot="1" x14ac:dyDescent="0.3">
      <c r="C4" s="109"/>
      <c r="D4" s="110"/>
      <c r="E4" s="110"/>
      <c r="F4" s="110"/>
      <c r="G4" s="111"/>
      <c r="H4" s="132"/>
      <c r="I4" s="109"/>
      <c r="J4" s="110"/>
      <c r="K4" s="150"/>
      <c r="L4" s="68"/>
      <c r="M4" s="68"/>
      <c r="N4" s="68"/>
      <c r="O4" s="69"/>
      <c r="P4" s="132"/>
      <c r="Q4" s="82"/>
      <c r="R4" s="83"/>
      <c r="S4" s="132"/>
      <c r="T4" s="82"/>
      <c r="U4" s="83"/>
      <c r="V4" s="132"/>
      <c r="W4" s="82"/>
      <c r="X4" s="83"/>
      <c r="Y4" s="132"/>
      <c r="Z4" s="241"/>
      <c r="AA4" s="242"/>
      <c r="AB4" s="242"/>
      <c r="AC4" s="243"/>
      <c r="AE4" s="241"/>
      <c r="AF4" s="242"/>
      <c r="AG4" s="243"/>
      <c r="AI4" s="75"/>
      <c r="AJ4" s="74"/>
      <c r="AK4" s="9"/>
      <c r="AL4" s="75"/>
      <c r="AM4" s="74"/>
      <c r="AO4" s="204"/>
      <c r="AP4" s="205"/>
      <c r="AQ4" s="205"/>
      <c r="AR4" s="206"/>
    </row>
    <row r="5" spans="1:44" x14ac:dyDescent="0.25">
      <c r="C5" s="5"/>
      <c r="D5" s="8"/>
      <c r="E5" s="8"/>
      <c r="F5" s="8"/>
      <c r="G5" s="6"/>
      <c r="H5" s="132"/>
      <c r="I5" s="5"/>
      <c r="J5" s="6"/>
      <c r="K5" s="132"/>
      <c r="L5" s="89"/>
      <c r="M5" s="98"/>
      <c r="N5" s="98"/>
      <c r="O5" s="6"/>
      <c r="P5" s="132"/>
      <c r="Q5" s="5"/>
      <c r="R5" s="6"/>
      <c r="S5" s="132"/>
      <c r="T5" s="5"/>
      <c r="U5" s="6"/>
      <c r="V5" s="132"/>
      <c r="W5" s="10"/>
      <c r="X5" s="12"/>
      <c r="Y5" s="132"/>
      <c r="Z5" s="5"/>
      <c r="AA5" s="8"/>
      <c r="AB5" s="8"/>
      <c r="AC5" s="6"/>
      <c r="AE5" s="5"/>
      <c r="AF5" s="8"/>
      <c r="AG5" s="6"/>
      <c r="AI5" s="10"/>
      <c r="AJ5" s="12"/>
      <c r="AK5" s="9"/>
      <c r="AL5" s="10"/>
      <c r="AM5" s="12"/>
      <c r="AO5" s="16"/>
      <c r="AP5" s="17"/>
      <c r="AQ5" s="17"/>
      <c r="AR5" s="18"/>
    </row>
    <row r="6" spans="1:44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20" t="str">
        <f>+'Lead Sheet'!S6</f>
        <v>Vince</v>
      </c>
      <c r="J6" s="21" t="str">
        <f>+'Lead Sheet'!T6</f>
        <v>Vince</v>
      </c>
      <c r="K6" s="132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132"/>
      <c r="Q6" s="20" t="str">
        <f>+'Lead Sheet'!AR6</f>
        <v>Joseph J.</v>
      </c>
      <c r="R6" s="21" t="str">
        <f>+'Lead Sheet'!AS6</f>
        <v>Lisa</v>
      </c>
      <c r="S6" s="132"/>
      <c r="T6" s="20" t="str">
        <f>+'Lead Sheet'!AU6</f>
        <v>Frank X.</v>
      </c>
      <c r="U6" s="21" t="str">
        <f>+'Lead Sheet'!AV6</f>
        <v>Celeste</v>
      </c>
      <c r="V6" s="132"/>
      <c r="W6" s="20" t="str">
        <f>+'Lead Sheet'!BD6</f>
        <v>James</v>
      </c>
      <c r="X6" s="21" t="str">
        <f>+'Lead Sheet'!BE6</f>
        <v>Dr. William</v>
      </c>
      <c r="Y6" s="132"/>
      <c r="Z6" s="20" t="s">
        <v>371</v>
      </c>
      <c r="AA6" s="7" t="s">
        <v>373</v>
      </c>
      <c r="AB6" s="7" t="s">
        <v>183</v>
      </c>
      <c r="AC6" s="21" t="s">
        <v>183</v>
      </c>
      <c r="AE6" s="20" t="s">
        <v>375</v>
      </c>
      <c r="AF6" s="7" t="s">
        <v>69</v>
      </c>
      <c r="AG6" s="21" t="s">
        <v>378</v>
      </c>
      <c r="AI6" s="229" t="s">
        <v>9</v>
      </c>
      <c r="AJ6" s="230" t="s">
        <v>10</v>
      </c>
      <c r="AK6" s="9"/>
      <c r="AL6" s="229" t="s">
        <v>9</v>
      </c>
      <c r="AM6" s="230" t="s">
        <v>10</v>
      </c>
      <c r="AO6" s="22" t="s">
        <v>8</v>
      </c>
      <c r="AP6" s="23" t="s">
        <v>8</v>
      </c>
      <c r="AQ6" s="23" t="s">
        <v>8</v>
      </c>
      <c r="AR6" s="24" t="s">
        <v>8</v>
      </c>
    </row>
    <row r="7" spans="1:44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20" t="str">
        <f>+'Lead Sheet'!S7</f>
        <v>POLISTINA</v>
      </c>
      <c r="J7" s="21" t="str">
        <f>+'Lead Sheet'!T7</f>
        <v>MAZZEO</v>
      </c>
      <c r="K7" s="132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132"/>
      <c r="Q7" s="20" t="str">
        <f>+'Lead Sheet'!AR7</f>
        <v>GIRALO</v>
      </c>
      <c r="R7" s="21" t="str">
        <f>+'Lead Sheet'!AS7</f>
        <v>JIAMPETTI</v>
      </c>
      <c r="S7" s="132"/>
      <c r="T7" s="20" t="str">
        <f>+'Lead Sheet'!AU7</f>
        <v>BALLES</v>
      </c>
      <c r="U7" s="21" t="str">
        <f>+'Lead Sheet'!AV7</f>
        <v>FERNANDEZ</v>
      </c>
      <c r="V7" s="132"/>
      <c r="W7" s="20" t="str">
        <f>+'Lead Sheet'!BD7</f>
        <v>BERTINO</v>
      </c>
      <c r="X7" s="21" t="str">
        <f>+'Lead Sheet'!BE7</f>
        <v>BEYERS</v>
      </c>
      <c r="Y7" s="132"/>
      <c r="Z7" s="20" t="s">
        <v>372</v>
      </c>
      <c r="AA7" s="7" t="s">
        <v>374</v>
      </c>
      <c r="AB7" s="7" t="s">
        <v>159</v>
      </c>
      <c r="AC7" s="21" t="s">
        <v>159</v>
      </c>
      <c r="AE7" s="20" t="s">
        <v>376</v>
      </c>
      <c r="AF7" s="7" t="s">
        <v>377</v>
      </c>
      <c r="AG7" s="21" t="s">
        <v>379</v>
      </c>
      <c r="AI7" s="229"/>
      <c r="AJ7" s="230"/>
      <c r="AK7" s="9"/>
      <c r="AL7" s="229"/>
      <c r="AM7" s="230"/>
      <c r="AO7" s="22" t="s">
        <v>12</v>
      </c>
      <c r="AP7" s="23" t="s">
        <v>158</v>
      </c>
      <c r="AQ7" s="23" t="s">
        <v>13</v>
      </c>
      <c r="AR7" s="24" t="s">
        <v>14</v>
      </c>
    </row>
    <row r="8" spans="1:44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20" t="str">
        <f>+'Lead Sheet'!S8</f>
        <v>Republican</v>
      </c>
      <c r="J8" s="21" t="str">
        <f>+'Lead Sheet'!T8</f>
        <v>Democrat</v>
      </c>
      <c r="K8" s="132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132"/>
      <c r="Q8" s="20" t="str">
        <f>+'Lead Sheet'!AR8</f>
        <v>Republican</v>
      </c>
      <c r="R8" s="21" t="str">
        <f>+'Lead Sheet'!AS8</f>
        <v>Democrat</v>
      </c>
      <c r="S8" s="132"/>
      <c r="T8" s="20" t="str">
        <f>+'Lead Sheet'!AU8</f>
        <v>Republican</v>
      </c>
      <c r="U8" s="21" t="str">
        <f>+'Lead Sheet'!AV8</f>
        <v>Democrat</v>
      </c>
      <c r="V8" s="132"/>
      <c r="W8" s="20" t="str">
        <f>+'Lead Sheet'!BD8</f>
        <v>Republican</v>
      </c>
      <c r="X8" s="21" t="str">
        <f>+'Lead Sheet'!BE8</f>
        <v>Democrat</v>
      </c>
      <c r="Y8" s="132"/>
      <c r="Z8" s="20" t="s">
        <v>16</v>
      </c>
      <c r="AA8" s="7" t="s">
        <v>16</v>
      </c>
      <c r="AB8" s="7" t="s">
        <v>59</v>
      </c>
      <c r="AC8" s="21" t="s">
        <v>59</v>
      </c>
      <c r="AE8" s="20"/>
      <c r="AF8" s="7"/>
      <c r="AG8" s="21"/>
      <c r="AI8" s="229"/>
      <c r="AJ8" s="230"/>
      <c r="AK8" s="9"/>
      <c r="AL8" s="229"/>
      <c r="AM8" s="230"/>
      <c r="AO8" s="22" t="s">
        <v>18</v>
      </c>
      <c r="AP8" s="23" t="s">
        <v>145</v>
      </c>
      <c r="AQ8" s="23" t="s">
        <v>19</v>
      </c>
      <c r="AR8" s="24" t="s">
        <v>18</v>
      </c>
    </row>
    <row r="9" spans="1:44" x14ac:dyDescent="0.25">
      <c r="C9" s="60"/>
      <c r="D9" s="31"/>
      <c r="E9" s="31"/>
      <c r="F9" s="31"/>
      <c r="G9" s="61" t="str">
        <f>+'Lead Sheet'!G9</f>
        <v>Party</v>
      </c>
      <c r="H9" s="132"/>
      <c r="I9" s="20"/>
      <c r="J9" s="21"/>
      <c r="K9" s="132"/>
      <c r="L9" s="20"/>
      <c r="M9" s="7"/>
      <c r="N9" s="7"/>
      <c r="O9" s="21"/>
      <c r="P9" s="132"/>
      <c r="Q9" s="20"/>
      <c r="R9" s="21"/>
      <c r="S9" s="132"/>
      <c r="T9" s="20"/>
      <c r="U9" s="21"/>
      <c r="V9" s="132"/>
      <c r="W9" s="20"/>
      <c r="X9" s="21"/>
      <c r="Y9" s="132"/>
      <c r="Z9" s="20"/>
      <c r="AA9" s="7"/>
      <c r="AB9" s="7"/>
      <c r="AC9" s="21"/>
      <c r="AE9" s="20"/>
      <c r="AF9" s="7"/>
      <c r="AG9" s="21"/>
      <c r="AI9" s="27"/>
      <c r="AJ9" s="28"/>
      <c r="AK9" s="9"/>
      <c r="AL9" s="27"/>
      <c r="AM9" s="28"/>
      <c r="AO9" s="119"/>
      <c r="AP9" s="118"/>
      <c r="AQ9" s="118"/>
      <c r="AR9" s="120"/>
    </row>
    <row r="10" spans="1:44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136"/>
      <c r="X10" s="137"/>
      <c r="Z10" s="136"/>
      <c r="AA10" s="152"/>
      <c r="AB10" s="152"/>
      <c r="AC10" s="137"/>
      <c r="AE10" s="136"/>
      <c r="AF10" s="152"/>
      <c r="AG10" s="137"/>
      <c r="AI10" s="36"/>
      <c r="AJ10" s="38"/>
      <c r="AK10" s="9"/>
      <c r="AL10" s="36"/>
      <c r="AM10" s="38"/>
      <c r="AO10" s="33"/>
      <c r="AP10" s="34"/>
      <c r="AQ10" s="34"/>
      <c r="AR10" s="35"/>
    </row>
    <row r="11" spans="1:44" x14ac:dyDescent="0.25">
      <c r="A11" t="s">
        <v>29</v>
      </c>
      <c r="C11" s="40">
        <v>396</v>
      </c>
      <c r="D11" s="40">
        <v>117</v>
      </c>
      <c r="E11" s="40">
        <v>0</v>
      </c>
      <c r="F11" s="40">
        <v>0</v>
      </c>
      <c r="G11" s="40">
        <v>1</v>
      </c>
      <c r="I11" s="40">
        <v>374</v>
      </c>
      <c r="J11" s="40">
        <v>122</v>
      </c>
      <c r="L11" s="40">
        <v>358</v>
      </c>
      <c r="M11" s="40">
        <v>367</v>
      </c>
      <c r="N11" s="40">
        <v>129</v>
      </c>
      <c r="O11" s="40">
        <v>120</v>
      </c>
      <c r="Q11" s="40">
        <v>388</v>
      </c>
      <c r="R11" s="40">
        <v>112</v>
      </c>
      <c r="T11" s="40">
        <v>389</v>
      </c>
      <c r="U11" s="40">
        <v>103</v>
      </c>
      <c r="W11" s="40">
        <v>397</v>
      </c>
      <c r="X11" s="40">
        <v>97</v>
      </c>
      <c r="Z11" s="59">
        <v>402</v>
      </c>
      <c r="AA11" s="59">
        <v>403</v>
      </c>
      <c r="AB11" s="59"/>
      <c r="AC11" s="59"/>
      <c r="AE11" s="59">
        <v>264</v>
      </c>
      <c r="AF11" s="59">
        <v>265</v>
      </c>
      <c r="AG11" s="59">
        <v>295</v>
      </c>
      <c r="AI11" s="40">
        <v>199</v>
      </c>
      <c r="AJ11" s="40">
        <v>241</v>
      </c>
      <c r="AL11" s="40">
        <v>284</v>
      </c>
      <c r="AM11" s="40">
        <v>150</v>
      </c>
      <c r="AO11" s="42">
        <v>518</v>
      </c>
      <c r="AP11" s="42">
        <v>30</v>
      </c>
      <c r="AQ11" s="42">
        <v>86</v>
      </c>
      <c r="AR11" s="42">
        <f>2+17</f>
        <v>19</v>
      </c>
    </row>
    <row r="12" spans="1:44" ht="15.75" thickBot="1" x14ac:dyDescent="0.3"/>
    <row r="13" spans="1:44" ht="15.75" thickBot="1" x14ac:dyDescent="0.3">
      <c r="A13" s="50" t="s">
        <v>8</v>
      </c>
      <c r="B13" s="1"/>
      <c r="C13" s="51">
        <f>+C11</f>
        <v>396</v>
      </c>
      <c r="D13" s="51">
        <f t="shared" ref="D13:AC13" si="0">+D11</f>
        <v>117</v>
      </c>
      <c r="E13" s="51">
        <f t="shared" ref="E13:N13" si="1">+E11</f>
        <v>0</v>
      </c>
      <c r="F13" s="51">
        <f t="shared" si="1"/>
        <v>0</v>
      </c>
      <c r="G13" s="51">
        <f t="shared" si="1"/>
        <v>1</v>
      </c>
      <c r="I13" s="51">
        <f t="shared" si="1"/>
        <v>374</v>
      </c>
      <c r="J13" s="51">
        <f t="shared" si="1"/>
        <v>122</v>
      </c>
      <c r="L13" s="51">
        <f t="shared" si="1"/>
        <v>358</v>
      </c>
      <c r="M13" s="51">
        <f t="shared" si="1"/>
        <v>367</v>
      </c>
      <c r="N13" s="51">
        <f t="shared" si="1"/>
        <v>129</v>
      </c>
      <c r="O13" s="51">
        <f t="shared" si="0"/>
        <v>120</v>
      </c>
      <c r="Q13" s="51">
        <f t="shared" si="0"/>
        <v>388</v>
      </c>
      <c r="R13" s="51">
        <f t="shared" si="0"/>
        <v>112</v>
      </c>
      <c r="T13" s="51">
        <f t="shared" si="0"/>
        <v>389</v>
      </c>
      <c r="U13" s="51">
        <f t="shared" si="0"/>
        <v>103</v>
      </c>
      <c r="W13" s="51">
        <f t="shared" si="0"/>
        <v>397</v>
      </c>
      <c r="X13" s="51">
        <f t="shared" si="0"/>
        <v>97</v>
      </c>
      <c r="Z13" s="51">
        <f t="shared" si="0"/>
        <v>402</v>
      </c>
      <c r="AA13" s="51">
        <f t="shared" si="0"/>
        <v>403</v>
      </c>
      <c r="AB13" s="51">
        <f t="shared" si="0"/>
        <v>0</v>
      </c>
      <c r="AC13" s="51">
        <f t="shared" si="0"/>
        <v>0</v>
      </c>
      <c r="AE13" s="51">
        <f>+AE11</f>
        <v>264</v>
      </c>
      <c r="AF13" s="51">
        <f>+AF11</f>
        <v>265</v>
      </c>
      <c r="AG13" s="51">
        <f>+AG11</f>
        <v>295</v>
      </c>
      <c r="AI13" s="51">
        <f>+AI11</f>
        <v>199</v>
      </c>
      <c r="AJ13" s="51">
        <f>+AJ11</f>
        <v>241</v>
      </c>
      <c r="AL13" s="51">
        <f>+AL11</f>
        <v>284</v>
      </c>
      <c r="AM13" s="51">
        <f>+AM11</f>
        <v>150</v>
      </c>
      <c r="AO13" s="51">
        <f>+AO11</f>
        <v>518</v>
      </c>
      <c r="AP13" s="51">
        <f>+AP11</f>
        <v>30</v>
      </c>
      <c r="AQ13" s="51">
        <f t="shared" ref="AQ13:AR13" si="2">+AQ11</f>
        <v>86</v>
      </c>
      <c r="AR13" s="51">
        <f t="shared" si="2"/>
        <v>19</v>
      </c>
    </row>
    <row r="14" spans="1:44" x14ac:dyDescent="0.25">
      <c r="A14" s="92" t="s">
        <v>146</v>
      </c>
      <c r="B14" s="1"/>
      <c r="C14" s="53">
        <v>20</v>
      </c>
      <c r="D14" s="53">
        <v>10</v>
      </c>
      <c r="E14" s="53">
        <v>0</v>
      </c>
      <c r="F14" s="53">
        <v>0</v>
      </c>
      <c r="G14" s="53">
        <v>0</v>
      </c>
      <c r="H14" s="138"/>
      <c r="I14" s="53">
        <v>19</v>
      </c>
      <c r="J14" s="53">
        <v>10</v>
      </c>
      <c r="K14" s="138"/>
      <c r="L14" s="53">
        <v>20</v>
      </c>
      <c r="M14" s="53">
        <v>20</v>
      </c>
      <c r="N14" s="53">
        <v>9</v>
      </c>
      <c r="O14" s="53">
        <v>9</v>
      </c>
      <c r="P14" s="138"/>
      <c r="Q14" s="53">
        <v>20</v>
      </c>
      <c r="R14" s="53">
        <v>10</v>
      </c>
      <c r="S14" s="138"/>
      <c r="T14" s="53">
        <v>21</v>
      </c>
      <c r="U14" s="53">
        <v>9</v>
      </c>
      <c r="V14" s="138"/>
      <c r="W14" s="53">
        <v>19</v>
      </c>
      <c r="X14" s="53">
        <v>10</v>
      </c>
      <c r="Y14" s="138"/>
      <c r="Z14" s="53">
        <v>17</v>
      </c>
      <c r="AA14" s="53">
        <v>17</v>
      </c>
      <c r="AB14" s="53"/>
      <c r="AC14" s="53"/>
      <c r="AE14" s="53">
        <v>17</v>
      </c>
      <c r="AF14" s="53">
        <v>17</v>
      </c>
      <c r="AG14" s="53">
        <v>20</v>
      </c>
      <c r="AI14" s="53">
        <v>14</v>
      </c>
      <c r="AJ14" s="53">
        <v>12</v>
      </c>
      <c r="AL14" s="53">
        <v>18</v>
      </c>
      <c r="AM14" s="53">
        <v>9</v>
      </c>
    </row>
    <row r="15" spans="1:44" x14ac:dyDescent="0.25">
      <c r="A15" s="92" t="s">
        <v>43</v>
      </c>
      <c r="B15" s="1"/>
      <c r="C15" s="41">
        <v>34</v>
      </c>
      <c r="D15" s="41">
        <v>47</v>
      </c>
      <c r="E15" s="41">
        <v>1</v>
      </c>
      <c r="F15" s="41">
        <v>2</v>
      </c>
      <c r="G15" s="41">
        <v>0</v>
      </c>
      <c r="H15" s="138"/>
      <c r="I15" s="41">
        <v>28</v>
      </c>
      <c r="J15" s="41">
        <v>56</v>
      </c>
      <c r="K15" s="138"/>
      <c r="L15" s="41">
        <v>33</v>
      </c>
      <c r="M15" s="41">
        <v>30</v>
      </c>
      <c r="N15" s="41">
        <v>51</v>
      </c>
      <c r="O15" s="41">
        <v>49</v>
      </c>
      <c r="P15" s="138"/>
      <c r="Q15" s="41">
        <v>35</v>
      </c>
      <c r="R15" s="41">
        <v>49</v>
      </c>
      <c r="S15" s="138"/>
      <c r="T15" s="41">
        <v>32</v>
      </c>
      <c r="U15" s="41">
        <v>49</v>
      </c>
      <c r="V15" s="138"/>
      <c r="W15" s="41">
        <v>37</v>
      </c>
      <c r="X15" s="41">
        <v>45</v>
      </c>
      <c r="Y15" s="138"/>
      <c r="Z15" s="41">
        <v>40</v>
      </c>
      <c r="AA15" s="41">
        <v>42</v>
      </c>
      <c r="AB15" s="41"/>
      <c r="AC15" s="41"/>
      <c r="AE15" s="41">
        <v>55</v>
      </c>
      <c r="AF15" s="41">
        <v>55</v>
      </c>
      <c r="AG15" s="41">
        <v>57</v>
      </c>
      <c r="AI15" s="41">
        <v>31</v>
      </c>
      <c r="AJ15" s="41">
        <v>50</v>
      </c>
      <c r="AL15" s="41">
        <v>61</v>
      </c>
      <c r="AM15" s="41">
        <v>20</v>
      </c>
    </row>
    <row r="16" spans="1:44" s="191" customFormat="1" x14ac:dyDescent="0.25">
      <c r="A16" s="94" t="s">
        <v>644</v>
      </c>
      <c r="B16" s="192"/>
      <c r="C16" s="95">
        <v>2</v>
      </c>
      <c r="D16" s="95">
        <v>0</v>
      </c>
      <c r="E16" s="95">
        <v>0</v>
      </c>
      <c r="F16" s="95">
        <v>0</v>
      </c>
      <c r="G16" s="95">
        <v>0</v>
      </c>
      <c r="H16" s="138"/>
      <c r="I16" s="95">
        <v>2</v>
      </c>
      <c r="J16" s="95">
        <v>0</v>
      </c>
      <c r="K16" s="138"/>
      <c r="L16" s="95">
        <v>2</v>
      </c>
      <c r="M16" s="95">
        <v>2</v>
      </c>
      <c r="N16" s="95">
        <v>0</v>
      </c>
      <c r="O16" s="95">
        <v>0</v>
      </c>
      <c r="P16" s="138"/>
      <c r="Q16" s="95">
        <v>2</v>
      </c>
      <c r="R16" s="95">
        <v>0</v>
      </c>
      <c r="S16" s="138"/>
      <c r="T16" s="95">
        <v>2</v>
      </c>
      <c r="U16" s="95">
        <v>0</v>
      </c>
      <c r="V16" s="138"/>
      <c r="W16" s="95">
        <v>2</v>
      </c>
      <c r="X16" s="95">
        <v>0</v>
      </c>
      <c r="Y16" s="138"/>
      <c r="Z16" s="95">
        <v>2</v>
      </c>
      <c r="AA16" s="95">
        <v>2</v>
      </c>
      <c r="AB16" s="95"/>
      <c r="AC16" s="95"/>
      <c r="AE16" s="95">
        <v>1</v>
      </c>
      <c r="AF16" s="95">
        <v>1</v>
      </c>
      <c r="AG16" s="95">
        <v>1</v>
      </c>
      <c r="AI16" s="95">
        <v>1</v>
      </c>
      <c r="AJ16" s="95">
        <v>1</v>
      </c>
      <c r="AL16" s="95">
        <v>1</v>
      </c>
      <c r="AM16" s="95">
        <v>1</v>
      </c>
    </row>
    <row r="17" spans="1:39" x14ac:dyDescent="0.25">
      <c r="A17" s="94" t="s">
        <v>645</v>
      </c>
      <c r="B17" s="1"/>
      <c r="C17" s="95">
        <v>13</v>
      </c>
      <c r="D17" s="95">
        <v>4</v>
      </c>
      <c r="E17" s="95">
        <v>0</v>
      </c>
      <c r="F17" s="95">
        <v>0</v>
      </c>
      <c r="G17" s="95">
        <v>0</v>
      </c>
      <c r="H17" s="138"/>
      <c r="I17" s="95">
        <v>12</v>
      </c>
      <c r="J17" s="95">
        <v>5</v>
      </c>
      <c r="K17" s="138"/>
      <c r="L17" s="95">
        <v>10</v>
      </c>
      <c r="M17" s="95">
        <v>10</v>
      </c>
      <c r="N17" s="95">
        <v>7</v>
      </c>
      <c r="O17" s="95">
        <v>7</v>
      </c>
      <c r="P17" s="138"/>
      <c r="Q17" s="95">
        <v>13</v>
      </c>
      <c r="R17" s="95">
        <v>4</v>
      </c>
      <c r="S17" s="138"/>
      <c r="T17" s="95">
        <v>12</v>
      </c>
      <c r="U17" s="95">
        <v>5</v>
      </c>
      <c r="V17" s="138"/>
      <c r="W17" s="95">
        <v>13</v>
      </c>
      <c r="X17" s="95">
        <v>4</v>
      </c>
      <c r="Y17" s="138"/>
      <c r="Z17" s="95">
        <v>13</v>
      </c>
      <c r="AA17" s="95">
        <v>13</v>
      </c>
      <c r="AB17" s="95"/>
      <c r="AC17" s="95"/>
      <c r="AE17" s="95">
        <v>11</v>
      </c>
      <c r="AF17" s="95">
        <v>12</v>
      </c>
      <c r="AG17" s="95">
        <v>11</v>
      </c>
      <c r="AI17" s="95">
        <v>9</v>
      </c>
      <c r="AJ17" s="95">
        <v>8</v>
      </c>
      <c r="AL17" s="95">
        <v>14</v>
      </c>
      <c r="AM17" s="95">
        <v>3</v>
      </c>
    </row>
    <row r="18" spans="1:39" s="191" customFormat="1" ht="15.75" thickBot="1" x14ac:dyDescent="0.3">
      <c r="A18" s="94" t="s">
        <v>651</v>
      </c>
      <c r="B18" s="192"/>
      <c r="C18" s="95">
        <f>1+1</f>
        <v>2</v>
      </c>
      <c r="D18" s="95">
        <f>2</f>
        <v>2</v>
      </c>
      <c r="E18" s="95">
        <v>0</v>
      </c>
      <c r="F18" s="95">
        <v>0</v>
      </c>
      <c r="G18" s="95">
        <v>0</v>
      </c>
      <c r="H18" s="138"/>
      <c r="I18" s="95">
        <f>1+1</f>
        <v>2</v>
      </c>
      <c r="J18" s="95">
        <f>2</f>
        <v>2</v>
      </c>
      <c r="K18" s="138"/>
      <c r="L18" s="95">
        <f>1+1</f>
        <v>2</v>
      </c>
      <c r="M18" s="95">
        <f>1+1</f>
        <v>2</v>
      </c>
      <c r="N18" s="95">
        <f>2</f>
        <v>2</v>
      </c>
      <c r="O18" s="95">
        <f>2</f>
        <v>2</v>
      </c>
      <c r="P18" s="138"/>
      <c r="Q18" s="95">
        <f>1+1</f>
        <v>2</v>
      </c>
      <c r="R18" s="95">
        <f>2+0</f>
        <v>2</v>
      </c>
      <c r="S18" s="138"/>
      <c r="T18" s="95">
        <f>1+1</f>
        <v>2</v>
      </c>
      <c r="U18" s="95">
        <f>2</f>
        <v>2</v>
      </c>
      <c r="V18" s="138"/>
      <c r="W18" s="95">
        <f>1+1</f>
        <v>2</v>
      </c>
      <c r="X18" s="95">
        <f>2</f>
        <v>2</v>
      </c>
      <c r="Y18" s="138"/>
      <c r="Z18" s="95">
        <f>1+1</f>
        <v>2</v>
      </c>
      <c r="AA18" s="95">
        <f>1+1</f>
        <v>2</v>
      </c>
      <c r="AB18" s="95"/>
      <c r="AC18" s="95"/>
      <c r="AE18" s="95">
        <f>2</f>
        <v>2</v>
      </c>
      <c r="AF18" s="95">
        <f>2</f>
        <v>2</v>
      </c>
      <c r="AG18" s="95">
        <f>2</f>
        <v>2</v>
      </c>
      <c r="AI18" s="95">
        <f>1</f>
        <v>1</v>
      </c>
      <c r="AJ18" s="95">
        <f>1</f>
        <v>1</v>
      </c>
      <c r="AL18" s="95">
        <f>1</f>
        <v>1</v>
      </c>
      <c r="AM18" s="95">
        <f>1</f>
        <v>1</v>
      </c>
    </row>
    <row r="19" spans="1:39" ht="15.75" thickBot="1" x14ac:dyDescent="0.3">
      <c r="A19" s="50" t="s">
        <v>45</v>
      </c>
      <c r="B19" s="1"/>
      <c r="C19" s="51">
        <f>+SUM(C13:C18)</f>
        <v>467</v>
      </c>
      <c r="D19" s="51">
        <f>+SUM(D13:D18)</f>
        <v>180</v>
      </c>
      <c r="E19" s="51">
        <f>+SUM(E13:E18)</f>
        <v>1</v>
      </c>
      <c r="F19" s="51">
        <f>+SUM(F13:F18)</f>
        <v>2</v>
      </c>
      <c r="G19" s="51">
        <f>+SUM(G13:G18)</f>
        <v>1</v>
      </c>
      <c r="I19" s="51">
        <f>+SUM(I13:I18)</f>
        <v>437</v>
      </c>
      <c r="J19" s="51">
        <f>+SUM(J13:J18)</f>
        <v>195</v>
      </c>
      <c r="L19" s="51">
        <f t="shared" ref="L19:O19" si="3">+SUM(L13:L18)</f>
        <v>425</v>
      </c>
      <c r="M19" s="51">
        <f t="shared" si="3"/>
        <v>431</v>
      </c>
      <c r="N19" s="51">
        <f t="shared" si="3"/>
        <v>198</v>
      </c>
      <c r="O19" s="51">
        <f t="shared" si="3"/>
        <v>187</v>
      </c>
      <c r="Q19" s="51">
        <f t="shared" ref="Q19:R19" si="4">+SUM(Q13:Q18)</f>
        <v>460</v>
      </c>
      <c r="R19" s="51">
        <f t="shared" si="4"/>
        <v>177</v>
      </c>
      <c r="T19" s="51">
        <f t="shared" ref="T19:U19" si="5">+SUM(T13:T18)</f>
        <v>458</v>
      </c>
      <c r="U19" s="51">
        <f t="shared" si="5"/>
        <v>168</v>
      </c>
      <c r="W19" s="51">
        <f t="shared" ref="W19:X19" si="6">+SUM(W13:W18)</f>
        <v>470</v>
      </c>
      <c r="X19" s="51">
        <f t="shared" si="6"/>
        <v>158</v>
      </c>
      <c r="Z19" s="51">
        <f t="shared" ref="Z19:AC19" si="7">+SUM(Z13:Z18)</f>
        <v>476</v>
      </c>
      <c r="AA19" s="51">
        <f t="shared" si="7"/>
        <v>479</v>
      </c>
      <c r="AB19" s="51">
        <f t="shared" si="7"/>
        <v>0</v>
      </c>
      <c r="AC19" s="51">
        <f t="shared" si="7"/>
        <v>0</v>
      </c>
      <c r="AE19" s="51">
        <f t="shared" ref="AE19:AG19" si="8">+SUM(AE13:AE18)</f>
        <v>350</v>
      </c>
      <c r="AF19" s="51">
        <f t="shared" si="8"/>
        <v>352</v>
      </c>
      <c r="AG19" s="51">
        <f t="shared" si="8"/>
        <v>386</v>
      </c>
      <c r="AI19" s="51">
        <f t="shared" ref="AI19:AJ19" si="9">+SUM(AI13:AI18)</f>
        <v>255</v>
      </c>
      <c r="AJ19" s="51">
        <f t="shared" si="9"/>
        <v>313</v>
      </c>
      <c r="AL19" s="51">
        <f t="shared" ref="AL19:AM19" si="10">+SUM(AL13:AL18)</f>
        <v>379</v>
      </c>
      <c r="AM19" s="51">
        <f t="shared" si="10"/>
        <v>184</v>
      </c>
    </row>
  </sheetData>
  <mergeCells count="20">
    <mergeCell ref="AO2:AR3"/>
    <mergeCell ref="AE2:AG2"/>
    <mergeCell ref="AI3:AJ3"/>
    <mergeCell ref="AL3:AM3"/>
    <mergeCell ref="AI6:AI8"/>
    <mergeCell ref="AJ6:AJ8"/>
    <mergeCell ref="AL6:AL8"/>
    <mergeCell ref="AM6:AM8"/>
    <mergeCell ref="Q3:R3"/>
    <mergeCell ref="T3:U3"/>
    <mergeCell ref="W3:X3"/>
    <mergeCell ref="Z4:AC4"/>
    <mergeCell ref="AE4:AG4"/>
    <mergeCell ref="AE3:AG3"/>
    <mergeCell ref="Z3:AC3"/>
    <mergeCell ref="C2:G2"/>
    <mergeCell ref="I2:O2"/>
    <mergeCell ref="C3:G3"/>
    <mergeCell ref="I3:J3"/>
    <mergeCell ref="L3:O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8.42578125" style="191" customWidth="1"/>
    <col min="2" max="2" width="1.7109375" style="191" customWidth="1"/>
    <col min="3" max="5" width="12.7109375" style="191" customWidth="1"/>
    <col min="6" max="6" width="14.7109375" style="191" customWidth="1"/>
    <col min="7" max="7" width="15" style="191" customWidth="1"/>
    <col min="8" max="8" width="1.7109375" style="191" customWidth="1"/>
    <col min="9" max="11" width="12.7109375" style="191" customWidth="1"/>
    <col min="12" max="12" width="1.7109375" style="191" customWidth="1"/>
    <col min="13" max="16" width="12.7109375" style="191" customWidth="1"/>
    <col min="17" max="17" width="1.7109375" style="191" customWidth="1"/>
    <col min="18" max="19" width="14" style="191" customWidth="1"/>
    <col min="20" max="20" width="1.7109375" style="191" customWidth="1"/>
    <col min="21" max="22" width="14" style="191" customWidth="1"/>
    <col min="23" max="23" width="1.7109375" style="191" customWidth="1"/>
    <col min="24" max="31" width="14" style="191" customWidth="1"/>
    <col min="32" max="32" width="1.7109375" style="191" customWidth="1"/>
    <col min="33" max="33" width="20.7109375" style="191" customWidth="1"/>
    <col min="34" max="34" width="1.7109375" style="191" customWidth="1"/>
    <col min="35" max="37" width="14" style="191" customWidth="1"/>
    <col min="38" max="38" width="1.7109375" style="191" customWidth="1"/>
    <col min="39" max="40" width="9.7109375" style="191" customWidth="1"/>
    <col min="41" max="41" width="1.7109375" style="191" customWidth="1"/>
    <col min="42" max="43" width="9.7109375" style="191" customWidth="1"/>
    <col min="44" max="44" width="1.7109375" style="191" customWidth="1"/>
    <col min="45" max="45" width="9.7109375" style="191" customWidth="1"/>
    <col min="46" max="47" width="9.5703125" style="191" customWidth="1"/>
    <col min="48" max="48" width="9.7109375" style="191" customWidth="1"/>
    <col min="49" max="16384" width="9.140625" style="191"/>
  </cols>
  <sheetData>
    <row r="1" spans="1:48" x14ac:dyDescent="0.25">
      <c r="AG1" s="177" t="s">
        <v>444</v>
      </c>
      <c r="AI1" s="203"/>
      <c r="AJ1" s="203"/>
      <c r="AK1" s="203"/>
    </row>
    <row r="2" spans="1:48" x14ac:dyDescent="0.25">
      <c r="C2" s="224"/>
      <c r="D2" s="225"/>
      <c r="E2" s="225"/>
      <c r="F2" s="225"/>
      <c r="G2" s="226"/>
      <c r="I2" s="224" t="s">
        <v>4</v>
      </c>
      <c r="J2" s="225"/>
      <c r="K2" s="225"/>
      <c r="L2" s="225"/>
      <c r="M2" s="225"/>
      <c r="N2" s="225"/>
      <c r="O2" s="225"/>
      <c r="P2" s="226"/>
      <c r="Q2" s="192"/>
      <c r="R2" s="80"/>
      <c r="S2" s="81"/>
      <c r="T2" s="192"/>
      <c r="U2" s="80"/>
      <c r="V2" s="81"/>
      <c r="X2" s="145"/>
      <c r="Y2" s="149"/>
      <c r="Z2" s="149"/>
      <c r="AA2" s="149"/>
      <c r="AB2" s="149"/>
      <c r="AC2" s="149"/>
      <c r="AD2" s="149"/>
      <c r="AE2" s="146"/>
      <c r="AG2" s="178" t="s">
        <v>311</v>
      </c>
      <c r="AI2" s="224" t="s">
        <v>148</v>
      </c>
      <c r="AJ2" s="225"/>
      <c r="AK2" s="226"/>
      <c r="AM2" s="80"/>
      <c r="AN2" s="81"/>
      <c r="AO2" s="9"/>
      <c r="AP2" s="80"/>
      <c r="AQ2" s="81"/>
      <c r="AS2" s="234" t="s">
        <v>5</v>
      </c>
      <c r="AT2" s="235"/>
      <c r="AU2" s="235"/>
      <c r="AV2" s="236"/>
    </row>
    <row r="3" spans="1:48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227"/>
      <c r="L3" s="64"/>
      <c r="M3" s="227" t="s">
        <v>0</v>
      </c>
      <c r="N3" s="227"/>
      <c r="O3" s="227"/>
      <c r="P3" s="223"/>
      <c r="Q3" s="192"/>
      <c r="R3" s="222" t="s">
        <v>121</v>
      </c>
      <c r="S3" s="223"/>
      <c r="T3" s="192"/>
      <c r="U3" s="222" t="s">
        <v>122</v>
      </c>
      <c r="V3" s="223"/>
      <c r="W3" s="132"/>
      <c r="X3" s="222" t="s">
        <v>147</v>
      </c>
      <c r="Y3" s="227"/>
      <c r="Z3" s="227"/>
      <c r="AA3" s="227"/>
      <c r="AB3" s="227"/>
      <c r="AC3" s="227"/>
      <c r="AD3" s="227"/>
      <c r="AE3" s="223"/>
      <c r="AF3" s="132"/>
      <c r="AG3" s="178" t="s">
        <v>312</v>
      </c>
      <c r="AH3" s="132"/>
      <c r="AI3" s="222" t="s">
        <v>151</v>
      </c>
      <c r="AJ3" s="227"/>
      <c r="AK3" s="223"/>
      <c r="AL3" s="132"/>
      <c r="AM3" s="222" t="s">
        <v>126</v>
      </c>
      <c r="AN3" s="223"/>
      <c r="AO3" s="9"/>
      <c r="AP3" s="222" t="s">
        <v>127</v>
      </c>
      <c r="AQ3" s="223"/>
      <c r="AS3" s="219"/>
      <c r="AT3" s="220"/>
      <c r="AU3" s="220"/>
      <c r="AV3" s="221"/>
    </row>
    <row r="4" spans="1:48" ht="5.0999999999999996" customHeight="1" thickBot="1" x14ac:dyDescent="0.3">
      <c r="C4" s="115"/>
      <c r="D4" s="117"/>
      <c r="E4" s="117"/>
      <c r="F4" s="117"/>
      <c r="G4" s="116"/>
      <c r="H4" s="132"/>
      <c r="I4" s="75"/>
      <c r="J4" s="73"/>
      <c r="K4" s="64"/>
      <c r="L4" s="64"/>
      <c r="M4" s="64"/>
      <c r="N4" s="64"/>
      <c r="O4" s="64"/>
      <c r="P4" s="79"/>
      <c r="Q4" s="192"/>
      <c r="R4" s="114"/>
      <c r="S4" s="79"/>
      <c r="T4" s="192"/>
      <c r="U4" s="114"/>
      <c r="V4" s="79"/>
      <c r="W4" s="132"/>
      <c r="X4" s="99"/>
      <c r="Y4" s="68"/>
      <c r="Z4" s="68"/>
      <c r="AA4" s="68"/>
      <c r="AB4" s="68"/>
      <c r="AC4" s="68"/>
      <c r="AD4" s="68"/>
      <c r="AE4" s="69"/>
      <c r="AF4" s="132"/>
      <c r="AG4" s="179"/>
      <c r="AH4" s="132"/>
      <c r="AI4" s="99"/>
      <c r="AJ4" s="68"/>
      <c r="AK4" s="69"/>
      <c r="AL4" s="132"/>
      <c r="AM4" s="75"/>
      <c r="AN4" s="74"/>
      <c r="AO4" s="9"/>
      <c r="AP4" s="75"/>
      <c r="AQ4" s="74"/>
      <c r="AS4" s="204"/>
      <c r="AT4" s="205"/>
      <c r="AU4" s="205"/>
      <c r="AV4" s="206"/>
    </row>
    <row r="5" spans="1:48" x14ac:dyDescent="0.25">
      <c r="C5" s="5"/>
      <c r="D5" s="8"/>
      <c r="E5" s="8"/>
      <c r="F5" s="8"/>
      <c r="G5" s="6"/>
      <c r="H5" s="132"/>
      <c r="I5" s="130"/>
      <c r="J5" s="153"/>
      <c r="K5" s="153"/>
      <c r="L5" s="153"/>
      <c r="M5" s="153"/>
      <c r="N5" s="153"/>
      <c r="O5" s="153"/>
      <c r="P5" s="131"/>
      <c r="Q5" s="132"/>
      <c r="R5" s="130"/>
      <c r="S5" s="131"/>
      <c r="T5" s="132"/>
      <c r="U5" s="130"/>
      <c r="V5" s="131"/>
      <c r="W5" s="132"/>
      <c r="X5" s="130"/>
      <c r="Y5" s="153"/>
      <c r="Z5" s="153"/>
      <c r="AA5" s="153"/>
      <c r="AB5" s="153"/>
      <c r="AC5" s="153"/>
      <c r="AD5" s="153"/>
      <c r="AE5" s="131"/>
      <c r="AF5" s="132"/>
      <c r="AG5" s="190"/>
      <c r="AH5" s="132"/>
      <c r="AI5" s="130"/>
      <c r="AJ5" s="153"/>
      <c r="AK5" s="131"/>
      <c r="AL5" s="132"/>
      <c r="AM5" s="10"/>
      <c r="AN5" s="12"/>
      <c r="AO5" s="9"/>
      <c r="AP5" s="10"/>
      <c r="AQ5" s="12"/>
      <c r="AS5" s="157"/>
      <c r="AT5" s="158"/>
      <c r="AU5" s="158"/>
      <c r="AV5" s="159"/>
    </row>
    <row r="6" spans="1:48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133" t="str">
        <f>+'Lead Sheet'!AI6</f>
        <v>Christopher J.</v>
      </c>
      <c r="J6" s="135" t="str">
        <f>+'Lead Sheet'!AJ6</f>
        <v>David T.</v>
      </c>
      <c r="K6" s="135" t="str">
        <f>+'Lead Sheet'!AK6</f>
        <v>Regina C.</v>
      </c>
      <c r="L6" s="132"/>
      <c r="M6" s="135" t="str">
        <f>+'Lead Sheet'!AM6</f>
        <v>Brian E.</v>
      </c>
      <c r="N6" s="135" t="str">
        <f>+'Lead Sheet'!AN6</f>
        <v>Dianne C.</v>
      </c>
      <c r="O6" s="135" t="str">
        <f>+'Lead Sheet'!AO6</f>
        <v>Alexis</v>
      </c>
      <c r="P6" s="134" t="str">
        <f>+'Lead Sheet'!AP6</f>
        <v>Kristen</v>
      </c>
      <c r="Q6" s="132"/>
      <c r="R6" s="133" t="str">
        <f>+'Lead Sheet'!AR6</f>
        <v>Joseph J.</v>
      </c>
      <c r="S6" s="134" t="str">
        <f>+'Lead Sheet'!AS6</f>
        <v>Lisa</v>
      </c>
      <c r="T6" s="132"/>
      <c r="U6" s="133" t="str">
        <f>+'Lead Sheet'!AU6</f>
        <v>Frank X.</v>
      </c>
      <c r="V6" s="134" t="str">
        <f>+'Lead Sheet'!AV6</f>
        <v>Celeste</v>
      </c>
      <c r="W6" s="132"/>
      <c r="X6" s="133" t="s">
        <v>397</v>
      </c>
      <c r="Y6" s="135" t="s">
        <v>195</v>
      </c>
      <c r="Z6" s="135" t="s">
        <v>400</v>
      </c>
      <c r="AA6" s="135" t="s">
        <v>402</v>
      </c>
      <c r="AB6" s="135" t="s">
        <v>404</v>
      </c>
      <c r="AC6" s="135" t="s">
        <v>406</v>
      </c>
      <c r="AD6" s="135" t="s">
        <v>408</v>
      </c>
      <c r="AE6" s="134" t="s">
        <v>410</v>
      </c>
      <c r="AF6" s="132"/>
      <c r="AG6" s="175" t="s">
        <v>412</v>
      </c>
      <c r="AH6" s="132"/>
      <c r="AI6" s="133" t="s">
        <v>414</v>
      </c>
      <c r="AJ6" s="135" t="s">
        <v>416</v>
      </c>
      <c r="AK6" s="134" t="s">
        <v>417</v>
      </c>
      <c r="AL6" s="132"/>
      <c r="AM6" s="229" t="s">
        <v>9</v>
      </c>
      <c r="AN6" s="230" t="s">
        <v>10</v>
      </c>
      <c r="AO6" s="9"/>
      <c r="AP6" s="229" t="s">
        <v>9</v>
      </c>
      <c r="AQ6" s="230" t="s">
        <v>10</v>
      </c>
      <c r="AS6" s="160" t="s">
        <v>8</v>
      </c>
      <c r="AT6" s="161" t="s">
        <v>8</v>
      </c>
      <c r="AU6" s="161" t="s">
        <v>8</v>
      </c>
      <c r="AV6" s="162" t="s">
        <v>8</v>
      </c>
    </row>
    <row r="7" spans="1:48" ht="15" customHeight="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133" t="str">
        <f>+'Lead Sheet'!AI7</f>
        <v>CONNORS</v>
      </c>
      <c r="J7" s="135" t="str">
        <f>+'Lead Sheet'!AJ7</f>
        <v>WRIGHT</v>
      </c>
      <c r="K7" s="135" t="str">
        <f>+'Lead Sheet'!AK7</f>
        <v>DISCENZA</v>
      </c>
      <c r="L7" s="132"/>
      <c r="M7" s="135" t="str">
        <f>+'Lead Sheet'!AM7</f>
        <v>RUMPF</v>
      </c>
      <c r="N7" s="135" t="str">
        <f>+'Lead Sheet'!AN7</f>
        <v>GOVE</v>
      </c>
      <c r="O7" s="135" t="str">
        <f>+'Lead Sheet'!AO7</f>
        <v>JACKSON</v>
      </c>
      <c r="P7" s="134" t="str">
        <f>+'Lead Sheet'!AP7</f>
        <v>HENNINGER</v>
      </c>
      <c r="Q7" s="132"/>
      <c r="R7" s="133" t="str">
        <f>+'Lead Sheet'!AR7</f>
        <v>GIRALO</v>
      </c>
      <c r="S7" s="134" t="str">
        <f>+'Lead Sheet'!AS7</f>
        <v>JIAMPETTI</v>
      </c>
      <c r="T7" s="132"/>
      <c r="U7" s="133" t="str">
        <f>+'Lead Sheet'!AU7</f>
        <v>BALLES</v>
      </c>
      <c r="V7" s="134" t="str">
        <f>+'Lead Sheet'!AV7</f>
        <v>FERNANDEZ</v>
      </c>
      <c r="W7" s="132"/>
      <c r="X7" s="133" t="s">
        <v>398</v>
      </c>
      <c r="Y7" s="135" t="s">
        <v>399</v>
      </c>
      <c r="Z7" s="135" t="s">
        <v>401</v>
      </c>
      <c r="AA7" s="135" t="s">
        <v>403</v>
      </c>
      <c r="AB7" s="135" t="s">
        <v>405</v>
      </c>
      <c r="AC7" s="135" t="s">
        <v>407</v>
      </c>
      <c r="AD7" s="135" t="s">
        <v>409</v>
      </c>
      <c r="AE7" s="134" t="s">
        <v>411</v>
      </c>
      <c r="AF7" s="132"/>
      <c r="AG7" s="175" t="s">
        <v>413</v>
      </c>
      <c r="AH7" s="132"/>
      <c r="AI7" s="133" t="s">
        <v>415</v>
      </c>
      <c r="AJ7" s="135" t="s">
        <v>648</v>
      </c>
      <c r="AK7" s="134" t="s">
        <v>418</v>
      </c>
      <c r="AL7" s="132"/>
      <c r="AM7" s="229"/>
      <c r="AN7" s="230"/>
      <c r="AO7" s="9"/>
      <c r="AP7" s="229"/>
      <c r="AQ7" s="230"/>
      <c r="AS7" s="160" t="s">
        <v>12</v>
      </c>
      <c r="AT7" s="161" t="s">
        <v>144</v>
      </c>
      <c r="AU7" s="161" t="s">
        <v>13</v>
      </c>
      <c r="AV7" s="162" t="s">
        <v>14</v>
      </c>
    </row>
    <row r="8" spans="1:48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133" t="str">
        <f>+'Lead Sheet'!AI8</f>
        <v>Republican</v>
      </c>
      <c r="J8" s="135" t="str">
        <f>+'Lead Sheet'!AJ8</f>
        <v>Democrat</v>
      </c>
      <c r="K8" s="135" t="str">
        <f>+'Lead Sheet'!AK8</f>
        <v>Unaffiliated Best</v>
      </c>
      <c r="L8" s="132"/>
      <c r="M8" s="135" t="str">
        <f>+'Lead Sheet'!AM8</f>
        <v>Republican</v>
      </c>
      <c r="N8" s="135" t="str">
        <f>+'Lead Sheet'!AN8</f>
        <v>Republican</v>
      </c>
      <c r="O8" s="135" t="str">
        <f>+'Lead Sheet'!AO8</f>
        <v>Democrat</v>
      </c>
      <c r="P8" s="134" t="str">
        <f>+'Lead Sheet'!AP8</f>
        <v>HOLLAND</v>
      </c>
      <c r="Q8" s="132"/>
      <c r="R8" s="133" t="str">
        <f>+'Lead Sheet'!AR8</f>
        <v>Republican</v>
      </c>
      <c r="S8" s="134" t="str">
        <f>+'Lead Sheet'!AS8</f>
        <v>Democrat</v>
      </c>
      <c r="T8" s="132"/>
      <c r="U8" s="133" t="str">
        <f>+'Lead Sheet'!AU8</f>
        <v>Republican</v>
      </c>
      <c r="V8" s="134" t="str">
        <f>+'Lead Sheet'!AV8</f>
        <v>Democrat</v>
      </c>
      <c r="W8" s="132"/>
      <c r="X8" s="133" t="s">
        <v>16</v>
      </c>
      <c r="Y8" s="135" t="s">
        <v>16</v>
      </c>
      <c r="Z8" s="135" t="s">
        <v>16</v>
      </c>
      <c r="AA8" s="135" t="s">
        <v>16</v>
      </c>
      <c r="AB8" s="135" t="s">
        <v>59</v>
      </c>
      <c r="AC8" s="135" t="s">
        <v>59</v>
      </c>
      <c r="AD8" s="135" t="s">
        <v>59</v>
      </c>
      <c r="AE8" s="134" t="s">
        <v>59</v>
      </c>
      <c r="AF8" s="132"/>
      <c r="AG8" s="175"/>
      <c r="AH8" s="132"/>
      <c r="AI8" s="133"/>
      <c r="AJ8" s="135" t="s">
        <v>649</v>
      </c>
      <c r="AK8" s="134"/>
      <c r="AL8" s="132"/>
      <c r="AM8" s="229"/>
      <c r="AN8" s="230"/>
      <c r="AO8" s="9"/>
      <c r="AP8" s="229"/>
      <c r="AQ8" s="230"/>
      <c r="AS8" s="160" t="s">
        <v>18</v>
      </c>
      <c r="AT8" s="161" t="s">
        <v>145</v>
      </c>
      <c r="AU8" s="161" t="s">
        <v>19</v>
      </c>
      <c r="AV8" s="162" t="s">
        <v>18</v>
      </c>
    </row>
    <row r="9" spans="1:48" x14ac:dyDescent="0.25">
      <c r="C9" s="60"/>
      <c r="D9" s="31"/>
      <c r="E9" s="31"/>
      <c r="F9" s="31"/>
      <c r="G9" s="61" t="str">
        <f>+'Lead Sheet'!G9</f>
        <v>Party</v>
      </c>
      <c r="H9" s="132"/>
      <c r="I9" s="143"/>
      <c r="J9" s="132"/>
      <c r="K9" s="132"/>
      <c r="L9" s="132"/>
      <c r="M9" s="132"/>
      <c r="N9" s="132"/>
      <c r="O9" s="132"/>
      <c r="P9" s="134" t="str">
        <f>+'Lead Sheet'!AP9</f>
        <v>Democrat</v>
      </c>
      <c r="Q9" s="132"/>
      <c r="R9" s="143"/>
      <c r="S9" s="144"/>
      <c r="T9" s="132"/>
      <c r="U9" s="143"/>
      <c r="V9" s="144"/>
      <c r="W9" s="132"/>
      <c r="X9" s="143"/>
      <c r="Y9" s="132"/>
      <c r="Z9" s="132"/>
      <c r="AA9" s="132"/>
      <c r="AB9" s="132"/>
      <c r="AC9" s="132"/>
      <c r="AD9" s="132"/>
      <c r="AE9" s="144"/>
      <c r="AF9" s="132"/>
      <c r="AG9" s="189"/>
      <c r="AH9" s="132"/>
      <c r="AI9" s="143"/>
      <c r="AJ9" s="132"/>
      <c r="AK9" s="144"/>
      <c r="AL9" s="132"/>
      <c r="AM9" s="27"/>
      <c r="AN9" s="28"/>
      <c r="AO9" s="9"/>
      <c r="AP9" s="27"/>
      <c r="AQ9" s="28"/>
      <c r="AS9" s="164"/>
      <c r="AT9" s="163"/>
      <c r="AU9" s="163"/>
      <c r="AV9" s="165"/>
    </row>
    <row r="10" spans="1:48" ht="5.0999999999999996" customHeight="1" thickBot="1" x14ac:dyDescent="0.3">
      <c r="C10" s="29"/>
      <c r="D10" s="32"/>
      <c r="E10" s="32"/>
      <c r="F10" s="32"/>
      <c r="G10" s="30"/>
      <c r="I10" s="136"/>
      <c r="J10" s="152"/>
      <c r="K10" s="152"/>
      <c r="L10" s="152"/>
      <c r="M10" s="152"/>
      <c r="N10" s="152"/>
      <c r="O10" s="152"/>
      <c r="P10" s="137"/>
      <c r="R10" s="136"/>
      <c r="S10" s="137"/>
      <c r="U10" s="136"/>
      <c r="V10" s="137"/>
      <c r="X10" s="136"/>
      <c r="Y10" s="152"/>
      <c r="Z10" s="152"/>
      <c r="AA10" s="152"/>
      <c r="AB10" s="152"/>
      <c r="AC10" s="152"/>
      <c r="AD10" s="152"/>
      <c r="AE10" s="137"/>
      <c r="AG10" s="176"/>
      <c r="AI10" s="136"/>
      <c r="AJ10" s="152"/>
      <c r="AK10" s="137"/>
      <c r="AM10" s="36"/>
      <c r="AN10" s="38"/>
      <c r="AO10" s="9"/>
      <c r="AP10" s="36"/>
      <c r="AQ10" s="38"/>
      <c r="AS10" s="166"/>
      <c r="AT10" s="167"/>
      <c r="AU10" s="167"/>
      <c r="AV10" s="168"/>
    </row>
    <row r="11" spans="1:48" x14ac:dyDescent="0.25">
      <c r="A11" s="191" t="s">
        <v>380</v>
      </c>
      <c r="C11" s="40">
        <v>417</v>
      </c>
      <c r="D11" s="40">
        <v>209</v>
      </c>
      <c r="E11" s="40">
        <v>0</v>
      </c>
      <c r="F11" s="40">
        <v>1</v>
      </c>
      <c r="G11" s="40">
        <v>0</v>
      </c>
      <c r="I11" s="59">
        <v>423</v>
      </c>
      <c r="J11" s="59">
        <v>177</v>
      </c>
      <c r="K11" s="59">
        <v>3</v>
      </c>
      <c r="M11" s="59">
        <v>422</v>
      </c>
      <c r="N11" s="59">
        <v>414</v>
      </c>
      <c r="O11" s="59">
        <v>179</v>
      </c>
      <c r="P11" s="59">
        <v>170</v>
      </c>
      <c r="R11" s="59">
        <v>409</v>
      </c>
      <c r="S11" s="59">
        <v>195</v>
      </c>
      <c r="U11" s="59">
        <v>394</v>
      </c>
      <c r="V11" s="59">
        <v>167</v>
      </c>
      <c r="X11" s="59">
        <v>426</v>
      </c>
      <c r="Y11" s="59">
        <v>419</v>
      </c>
      <c r="Z11" s="59">
        <v>412</v>
      </c>
      <c r="AA11" s="59">
        <v>403</v>
      </c>
      <c r="AB11" s="59">
        <v>183</v>
      </c>
      <c r="AC11" s="59">
        <v>176</v>
      </c>
      <c r="AD11" s="59">
        <v>174</v>
      </c>
      <c r="AE11" s="59">
        <v>180</v>
      </c>
      <c r="AG11" s="59">
        <v>394</v>
      </c>
      <c r="AI11" s="59">
        <v>384</v>
      </c>
      <c r="AJ11" s="59">
        <v>333</v>
      </c>
      <c r="AK11" s="59">
        <v>340</v>
      </c>
      <c r="AM11" s="40">
        <v>259</v>
      </c>
      <c r="AN11" s="40">
        <v>253</v>
      </c>
      <c r="AP11" s="40">
        <v>323</v>
      </c>
      <c r="AQ11" s="40">
        <v>156</v>
      </c>
      <c r="AS11" s="40">
        <v>631</v>
      </c>
      <c r="AT11" s="238">
        <v>1660</v>
      </c>
      <c r="AU11" s="238">
        <v>1995</v>
      </c>
      <c r="AV11" s="238">
        <f>60+224</f>
        <v>284</v>
      </c>
    </row>
    <row r="12" spans="1:48" x14ac:dyDescent="0.25">
      <c r="A12" s="191" t="s">
        <v>381</v>
      </c>
      <c r="C12" s="40">
        <v>476</v>
      </c>
      <c r="D12" s="40">
        <v>119</v>
      </c>
      <c r="E12" s="40">
        <v>1</v>
      </c>
      <c r="F12" s="40">
        <v>0</v>
      </c>
      <c r="G12" s="40">
        <v>0</v>
      </c>
      <c r="I12" s="40">
        <v>468</v>
      </c>
      <c r="J12" s="40">
        <v>116</v>
      </c>
      <c r="K12" s="40">
        <v>2</v>
      </c>
      <c r="M12" s="40">
        <v>457</v>
      </c>
      <c r="N12" s="40">
        <v>460</v>
      </c>
      <c r="O12" s="40">
        <v>116</v>
      </c>
      <c r="P12" s="40">
        <v>120</v>
      </c>
      <c r="R12" s="40">
        <v>443</v>
      </c>
      <c r="S12" s="40">
        <v>141</v>
      </c>
      <c r="U12" s="40">
        <v>480</v>
      </c>
      <c r="V12" s="40">
        <v>103</v>
      </c>
      <c r="X12" s="40">
        <v>459</v>
      </c>
      <c r="Y12" s="40">
        <v>455</v>
      </c>
      <c r="Z12" s="40">
        <v>453</v>
      </c>
      <c r="AA12" s="40">
        <v>431</v>
      </c>
      <c r="AB12" s="40">
        <v>130</v>
      </c>
      <c r="AC12" s="40">
        <v>119</v>
      </c>
      <c r="AD12" s="40">
        <v>120</v>
      </c>
      <c r="AE12" s="40">
        <v>127</v>
      </c>
      <c r="AG12" s="40">
        <v>379</v>
      </c>
      <c r="AI12" s="40">
        <v>381</v>
      </c>
      <c r="AJ12" s="40">
        <v>305</v>
      </c>
      <c r="AK12" s="40">
        <v>343</v>
      </c>
      <c r="AM12" s="40">
        <v>221</v>
      </c>
      <c r="AN12" s="40">
        <v>288</v>
      </c>
      <c r="AP12" s="40">
        <v>267</v>
      </c>
      <c r="AQ12" s="40">
        <v>201</v>
      </c>
      <c r="AS12" s="40">
        <v>599</v>
      </c>
      <c r="AT12" s="239"/>
      <c r="AU12" s="239"/>
      <c r="AV12" s="239"/>
    </row>
    <row r="13" spans="1:48" x14ac:dyDescent="0.25">
      <c r="A13" s="191" t="s">
        <v>382</v>
      </c>
      <c r="C13" s="40">
        <v>415</v>
      </c>
      <c r="D13" s="40">
        <v>187</v>
      </c>
      <c r="E13" s="40">
        <v>3</v>
      </c>
      <c r="F13" s="40">
        <v>1</v>
      </c>
      <c r="G13" s="40">
        <v>1</v>
      </c>
      <c r="I13" s="40">
        <v>403</v>
      </c>
      <c r="J13" s="40">
        <v>174</v>
      </c>
      <c r="K13" s="40">
        <v>10</v>
      </c>
      <c r="M13" s="40">
        <v>393</v>
      </c>
      <c r="N13" s="40">
        <v>394</v>
      </c>
      <c r="O13" s="40">
        <v>185</v>
      </c>
      <c r="P13" s="40">
        <v>183</v>
      </c>
      <c r="R13" s="40">
        <v>389</v>
      </c>
      <c r="S13" s="40">
        <v>197</v>
      </c>
      <c r="U13" s="40">
        <v>416</v>
      </c>
      <c r="V13" s="40">
        <v>166</v>
      </c>
      <c r="X13" s="40">
        <v>412</v>
      </c>
      <c r="Y13" s="40">
        <v>397</v>
      </c>
      <c r="Z13" s="40">
        <v>396</v>
      </c>
      <c r="AA13" s="40">
        <v>391</v>
      </c>
      <c r="AB13" s="40">
        <v>181</v>
      </c>
      <c r="AC13" s="40">
        <v>179</v>
      </c>
      <c r="AD13" s="40">
        <v>177</v>
      </c>
      <c r="AE13" s="40">
        <v>182</v>
      </c>
      <c r="AG13" s="40">
        <v>365</v>
      </c>
      <c r="AI13" s="40">
        <v>377</v>
      </c>
      <c r="AJ13" s="40">
        <v>327</v>
      </c>
      <c r="AK13" s="40">
        <v>337</v>
      </c>
      <c r="AM13" s="40">
        <v>256</v>
      </c>
      <c r="AN13" s="40">
        <v>243</v>
      </c>
      <c r="AP13" s="40">
        <v>335</v>
      </c>
      <c r="AQ13" s="40">
        <v>138</v>
      </c>
      <c r="AS13" s="40">
        <v>612</v>
      </c>
      <c r="AT13" s="239"/>
      <c r="AU13" s="239"/>
      <c r="AV13" s="239"/>
    </row>
    <row r="14" spans="1:48" x14ac:dyDescent="0.25">
      <c r="A14" s="191" t="s">
        <v>383</v>
      </c>
      <c r="C14" s="40">
        <v>292</v>
      </c>
      <c r="D14" s="40">
        <v>126</v>
      </c>
      <c r="E14" s="40">
        <v>3</v>
      </c>
      <c r="F14" s="40">
        <v>0</v>
      </c>
      <c r="G14" s="40">
        <v>0</v>
      </c>
      <c r="I14" s="40">
        <v>290</v>
      </c>
      <c r="J14" s="40">
        <v>108</v>
      </c>
      <c r="K14" s="40">
        <v>10</v>
      </c>
      <c r="M14" s="40">
        <v>291</v>
      </c>
      <c r="N14" s="40">
        <v>281</v>
      </c>
      <c r="O14" s="40">
        <v>109</v>
      </c>
      <c r="P14" s="40">
        <v>111</v>
      </c>
      <c r="R14" s="40">
        <v>270</v>
      </c>
      <c r="S14" s="40">
        <v>139</v>
      </c>
      <c r="U14" s="40">
        <v>296</v>
      </c>
      <c r="V14" s="40">
        <v>102</v>
      </c>
      <c r="X14" s="40">
        <v>291</v>
      </c>
      <c r="Y14" s="40">
        <v>280</v>
      </c>
      <c r="Z14" s="40">
        <v>272</v>
      </c>
      <c r="AA14" s="40">
        <v>261</v>
      </c>
      <c r="AB14" s="40">
        <v>119</v>
      </c>
      <c r="AC14" s="40">
        <v>112</v>
      </c>
      <c r="AD14" s="40">
        <v>109</v>
      </c>
      <c r="AE14" s="40">
        <v>115</v>
      </c>
      <c r="AG14" s="40">
        <v>256</v>
      </c>
      <c r="AI14" s="40">
        <v>240</v>
      </c>
      <c r="AJ14" s="40">
        <v>203</v>
      </c>
      <c r="AK14" s="40">
        <v>227</v>
      </c>
      <c r="AM14" s="40">
        <v>153</v>
      </c>
      <c r="AN14" s="40">
        <v>199</v>
      </c>
      <c r="AP14" s="40">
        <v>203</v>
      </c>
      <c r="AQ14" s="40">
        <v>121</v>
      </c>
      <c r="AS14" s="40">
        <v>426</v>
      </c>
      <c r="AT14" s="239"/>
      <c r="AU14" s="239"/>
      <c r="AV14" s="239"/>
    </row>
    <row r="15" spans="1:48" x14ac:dyDescent="0.25">
      <c r="A15" s="191" t="s">
        <v>384</v>
      </c>
      <c r="C15" s="40">
        <v>182</v>
      </c>
      <c r="D15" s="40">
        <v>171</v>
      </c>
      <c r="E15" s="40">
        <v>0</v>
      </c>
      <c r="F15" s="40">
        <v>1</v>
      </c>
      <c r="G15" s="40">
        <v>0</v>
      </c>
      <c r="I15" s="40">
        <v>177</v>
      </c>
      <c r="J15" s="40">
        <v>162</v>
      </c>
      <c r="K15" s="40">
        <v>1</v>
      </c>
      <c r="M15" s="40">
        <v>175</v>
      </c>
      <c r="N15" s="40">
        <v>169</v>
      </c>
      <c r="O15" s="40">
        <v>165</v>
      </c>
      <c r="P15" s="40">
        <v>162</v>
      </c>
      <c r="R15" s="40">
        <v>168</v>
      </c>
      <c r="S15" s="40">
        <v>168</v>
      </c>
      <c r="U15" s="40">
        <v>177</v>
      </c>
      <c r="V15" s="40">
        <v>163</v>
      </c>
      <c r="X15" s="40">
        <v>185</v>
      </c>
      <c r="Y15" s="40">
        <v>173</v>
      </c>
      <c r="Z15" s="40">
        <v>175</v>
      </c>
      <c r="AA15" s="40">
        <v>168</v>
      </c>
      <c r="AB15" s="40">
        <v>159</v>
      </c>
      <c r="AC15" s="40">
        <v>160</v>
      </c>
      <c r="AD15" s="40">
        <v>151</v>
      </c>
      <c r="AE15" s="40">
        <v>156</v>
      </c>
      <c r="AG15" s="40">
        <v>224</v>
      </c>
      <c r="AI15" s="40">
        <v>213</v>
      </c>
      <c r="AJ15" s="40">
        <v>179</v>
      </c>
      <c r="AK15" s="40">
        <v>189</v>
      </c>
      <c r="AM15" s="40">
        <v>142</v>
      </c>
      <c r="AN15" s="40">
        <v>129</v>
      </c>
      <c r="AP15" s="40">
        <v>171</v>
      </c>
      <c r="AQ15" s="40">
        <v>82</v>
      </c>
      <c r="AS15" s="40">
        <v>356</v>
      </c>
      <c r="AT15" s="239"/>
      <c r="AU15" s="239"/>
      <c r="AV15" s="239"/>
    </row>
    <row r="16" spans="1:48" x14ac:dyDescent="0.25">
      <c r="A16" s="191" t="s">
        <v>385</v>
      </c>
      <c r="C16" s="40">
        <v>327</v>
      </c>
      <c r="D16" s="40">
        <v>146</v>
      </c>
      <c r="E16" s="40">
        <v>1</v>
      </c>
      <c r="F16" s="40">
        <v>2</v>
      </c>
      <c r="G16" s="40">
        <v>0</v>
      </c>
      <c r="I16" s="40">
        <v>321</v>
      </c>
      <c r="J16" s="40">
        <v>138</v>
      </c>
      <c r="K16" s="40">
        <v>4</v>
      </c>
      <c r="M16" s="40">
        <v>313</v>
      </c>
      <c r="N16" s="40">
        <v>306</v>
      </c>
      <c r="O16" s="40">
        <v>140</v>
      </c>
      <c r="P16" s="40">
        <v>131</v>
      </c>
      <c r="R16" s="40">
        <v>300</v>
      </c>
      <c r="S16" s="40">
        <v>152</v>
      </c>
      <c r="U16" s="40">
        <v>321</v>
      </c>
      <c r="V16" s="40">
        <v>133</v>
      </c>
      <c r="X16" s="40">
        <v>320</v>
      </c>
      <c r="Y16" s="40">
        <v>312</v>
      </c>
      <c r="Z16" s="40">
        <v>298</v>
      </c>
      <c r="AA16" s="40">
        <v>306</v>
      </c>
      <c r="AB16" s="40">
        <v>141</v>
      </c>
      <c r="AC16" s="40">
        <v>133</v>
      </c>
      <c r="AD16" s="40">
        <v>137</v>
      </c>
      <c r="AE16" s="40">
        <v>135</v>
      </c>
      <c r="AG16" s="40">
        <v>299</v>
      </c>
      <c r="AI16" s="40">
        <v>278</v>
      </c>
      <c r="AJ16" s="40">
        <v>249</v>
      </c>
      <c r="AK16" s="40">
        <v>250</v>
      </c>
      <c r="AM16" s="40">
        <v>195</v>
      </c>
      <c r="AN16" s="40">
        <v>167</v>
      </c>
      <c r="AP16" s="40">
        <v>235</v>
      </c>
      <c r="AQ16" s="40">
        <v>108</v>
      </c>
      <c r="AS16" s="40">
        <v>478</v>
      </c>
      <c r="AT16" s="239"/>
      <c r="AU16" s="239"/>
      <c r="AV16" s="239"/>
    </row>
    <row r="17" spans="1:48" x14ac:dyDescent="0.25">
      <c r="A17" s="191" t="s">
        <v>386</v>
      </c>
      <c r="C17" s="40">
        <v>175</v>
      </c>
      <c r="D17" s="40">
        <v>51</v>
      </c>
      <c r="E17" s="40">
        <v>0</v>
      </c>
      <c r="F17" s="40">
        <v>0</v>
      </c>
      <c r="G17" s="40">
        <v>0</v>
      </c>
      <c r="I17" s="40">
        <v>173</v>
      </c>
      <c r="J17" s="40">
        <v>48</v>
      </c>
      <c r="K17" s="40">
        <v>0</v>
      </c>
      <c r="M17" s="40">
        <v>172</v>
      </c>
      <c r="N17" s="40">
        <v>173</v>
      </c>
      <c r="O17" s="40">
        <v>47</v>
      </c>
      <c r="P17" s="40">
        <v>47</v>
      </c>
      <c r="R17" s="40">
        <v>164</v>
      </c>
      <c r="S17" s="40">
        <v>54</v>
      </c>
      <c r="U17" s="40">
        <v>174</v>
      </c>
      <c r="V17" s="40">
        <v>43</v>
      </c>
      <c r="X17" s="40">
        <v>171</v>
      </c>
      <c r="Y17" s="40">
        <v>167</v>
      </c>
      <c r="Z17" s="40">
        <v>168</v>
      </c>
      <c r="AA17" s="40">
        <v>165</v>
      </c>
      <c r="AB17" s="40">
        <v>48</v>
      </c>
      <c r="AC17" s="40">
        <v>49</v>
      </c>
      <c r="AD17" s="40">
        <v>46</v>
      </c>
      <c r="AE17" s="40">
        <v>48</v>
      </c>
      <c r="AG17" s="40">
        <v>127</v>
      </c>
      <c r="AI17" s="40">
        <v>130</v>
      </c>
      <c r="AJ17" s="40">
        <v>117</v>
      </c>
      <c r="AK17" s="40">
        <v>121</v>
      </c>
      <c r="AM17" s="40">
        <v>84</v>
      </c>
      <c r="AN17" s="40">
        <v>105</v>
      </c>
      <c r="AP17" s="40">
        <v>113</v>
      </c>
      <c r="AQ17" s="40">
        <v>63</v>
      </c>
      <c r="AS17" s="40">
        <v>228</v>
      </c>
      <c r="AT17" s="239"/>
      <c r="AU17" s="239"/>
      <c r="AV17" s="239"/>
    </row>
    <row r="18" spans="1:48" x14ac:dyDescent="0.25">
      <c r="A18" s="191" t="s">
        <v>387</v>
      </c>
      <c r="C18" s="40">
        <v>366</v>
      </c>
      <c r="D18" s="40">
        <v>193</v>
      </c>
      <c r="E18" s="40">
        <v>1</v>
      </c>
      <c r="F18" s="40">
        <v>1</v>
      </c>
      <c r="G18" s="40">
        <v>1</v>
      </c>
      <c r="I18" s="40">
        <v>369</v>
      </c>
      <c r="J18" s="40">
        <v>182</v>
      </c>
      <c r="K18" s="40">
        <v>3</v>
      </c>
      <c r="M18" s="40">
        <v>363</v>
      </c>
      <c r="N18" s="40">
        <v>359</v>
      </c>
      <c r="O18" s="40">
        <v>181</v>
      </c>
      <c r="P18" s="40">
        <v>179</v>
      </c>
      <c r="R18" s="40">
        <v>354</v>
      </c>
      <c r="S18" s="40">
        <v>196</v>
      </c>
      <c r="U18" s="40">
        <v>368</v>
      </c>
      <c r="V18" s="40">
        <v>174</v>
      </c>
      <c r="X18" s="40">
        <v>355</v>
      </c>
      <c r="Y18" s="40">
        <v>346</v>
      </c>
      <c r="Z18" s="40">
        <v>334</v>
      </c>
      <c r="AA18" s="40">
        <v>325</v>
      </c>
      <c r="AB18" s="40">
        <v>189</v>
      </c>
      <c r="AC18" s="40">
        <v>182</v>
      </c>
      <c r="AD18" s="40">
        <v>182</v>
      </c>
      <c r="AE18" s="40">
        <v>181</v>
      </c>
      <c r="AG18" s="40">
        <v>340</v>
      </c>
      <c r="AI18" s="40">
        <v>330</v>
      </c>
      <c r="AJ18" s="40">
        <v>283</v>
      </c>
      <c r="AK18" s="40">
        <v>291</v>
      </c>
      <c r="AM18" s="40">
        <v>240</v>
      </c>
      <c r="AN18" s="40">
        <v>213</v>
      </c>
      <c r="AP18" s="40">
        <v>300</v>
      </c>
      <c r="AQ18" s="40">
        <v>135</v>
      </c>
      <c r="AS18" s="40">
        <v>567</v>
      </c>
      <c r="AT18" s="239"/>
      <c r="AU18" s="239"/>
      <c r="AV18" s="239"/>
    </row>
    <row r="19" spans="1:48" x14ac:dyDescent="0.25">
      <c r="A19" s="191" t="s">
        <v>388</v>
      </c>
      <c r="C19" s="40">
        <v>326</v>
      </c>
      <c r="D19" s="40">
        <v>146</v>
      </c>
      <c r="E19" s="40">
        <v>1</v>
      </c>
      <c r="F19" s="40">
        <v>1</v>
      </c>
      <c r="G19" s="40">
        <v>0</v>
      </c>
      <c r="I19" s="40">
        <v>316</v>
      </c>
      <c r="J19" s="40">
        <v>135</v>
      </c>
      <c r="K19" s="40">
        <v>6</v>
      </c>
      <c r="M19" s="40">
        <v>310</v>
      </c>
      <c r="N19" s="40">
        <v>306</v>
      </c>
      <c r="O19" s="40">
        <v>141</v>
      </c>
      <c r="P19" s="40">
        <v>138</v>
      </c>
      <c r="R19" s="40">
        <v>315</v>
      </c>
      <c r="S19" s="40">
        <v>137</v>
      </c>
      <c r="U19" s="40">
        <v>319</v>
      </c>
      <c r="V19" s="40">
        <v>132</v>
      </c>
      <c r="X19" s="40">
        <v>316</v>
      </c>
      <c r="Y19" s="40">
        <v>311</v>
      </c>
      <c r="Z19" s="40">
        <v>311</v>
      </c>
      <c r="AA19" s="40">
        <v>302</v>
      </c>
      <c r="AB19" s="40">
        <v>129</v>
      </c>
      <c r="AC19" s="40">
        <v>131</v>
      </c>
      <c r="AD19" s="40">
        <v>133</v>
      </c>
      <c r="AE19" s="40">
        <v>138</v>
      </c>
      <c r="AG19" s="40">
        <v>238</v>
      </c>
      <c r="AI19" s="40">
        <v>233</v>
      </c>
      <c r="AJ19" s="40">
        <v>201</v>
      </c>
      <c r="AK19" s="40">
        <v>202</v>
      </c>
      <c r="AM19" s="40">
        <v>161</v>
      </c>
      <c r="AN19" s="40">
        <v>215</v>
      </c>
      <c r="AP19" s="40">
        <v>194</v>
      </c>
      <c r="AQ19" s="40">
        <v>147</v>
      </c>
      <c r="AS19" s="40">
        <v>478</v>
      </c>
      <c r="AT19" s="239"/>
      <c r="AU19" s="239"/>
      <c r="AV19" s="239"/>
    </row>
    <row r="20" spans="1:48" x14ac:dyDescent="0.25">
      <c r="A20" s="191" t="s">
        <v>389</v>
      </c>
      <c r="C20" s="40">
        <v>80</v>
      </c>
      <c r="D20" s="40">
        <v>137</v>
      </c>
      <c r="E20" s="40">
        <v>0</v>
      </c>
      <c r="F20" s="40">
        <v>0</v>
      </c>
      <c r="G20" s="40">
        <v>0</v>
      </c>
      <c r="I20" s="40">
        <v>82</v>
      </c>
      <c r="J20" s="40">
        <v>125</v>
      </c>
      <c r="K20" s="40">
        <v>2</v>
      </c>
      <c r="M20" s="40">
        <v>84</v>
      </c>
      <c r="N20" s="40">
        <v>83</v>
      </c>
      <c r="O20" s="40">
        <v>125</v>
      </c>
      <c r="P20" s="40">
        <v>123</v>
      </c>
      <c r="R20" s="40">
        <v>77</v>
      </c>
      <c r="S20" s="40">
        <v>133</v>
      </c>
      <c r="U20" s="40">
        <v>85</v>
      </c>
      <c r="V20" s="40">
        <v>129</v>
      </c>
      <c r="X20" s="40">
        <v>85</v>
      </c>
      <c r="Y20" s="40">
        <v>81</v>
      </c>
      <c r="Z20" s="40">
        <v>83</v>
      </c>
      <c r="AA20" s="40">
        <v>85</v>
      </c>
      <c r="AB20" s="40">
        <v>125</v>
      </c>
      <c r="AC20" s="40">
        <v>121</v>
      </c>
      <c r="AD20" s="40">
        <v>114</v>
      </c>
      <c r="AE20" s="40">
        <v>114</v>
      </c>
      <c r="AG20" s="40">
        <v>147</v>
      </c>
      <c r="AI20" s="40">
        <v>124</v>
      </c>
      <c r="AJ20" s="40">
        <v>113</v>
      </c>
      <c r="AK20" s="40">
        <v>123</v>
      </c>
      <c r="AM20" s="40">
        <v>92</v>
      </c>
      <c r="AN20" s="40">
        <v>81</v>
      </c>
      <c r="AP20" s="40">
        <v>116</v>
      </c>
      <c r="AQ20" s="40">
        <v>44</v>
      </c>
      <c r="AS20" s="40">
        <v>220</v>
      </c>
      <c r="AT20" s="239"/>
      <c r="AU20" s="239"/>
      <c r="AV20" s="239"/>
    </row>
    <row r="21" spans="1:48" x14ac:dyDescent="0.25">
      <c r="A21" s="191" t="s">
        <v>390</v>
      </c>
      <c r="C21" s="40">
        <v>162</v>
      </c>
      <c r="D21" s="40">
        <v>181</v>
      </c>
      <c r="E21" s="40">
        <v>1</v>
      </c>
      <c r="F21" s="40">
        <v>1</v>
      </c>
      <c r="G21" s="40">
        <v>0</v>
      </c>
      <c r="I21" s="40">
        <v>163</v>
      </c>
      <c r="J21" s="40">
        <v>167</v>
      </c>
      <c r="K21" s="40">
        <v>3</v>
      </c>
      <c r="M21" s="40">
        <v>162</v>
      </c>
      <c r="N21" s="40">
        <v>160</v>
      </c>
      <c r="O21" s="40">
        <v>170</v>
      </c>
      <c r="P21" s="40">
        <v>166</v>
      </c>
      <c r="R21" s="40">
        <v>162</v>
      </c>
      <c r="S21" s="40">
        <v>165</v>
      </c>
      <c r="U21" s="40">
        <v>166</v>
      </c>
      <c r="V21" s="40">
        <v>164</v>
      </c>
      <c r="X21" s="40">
        <v>160</v>
      </c>
      <c r="Y21" s="40">
        <v>161</v>
      </c>
      <c r="Z21" s="40">
        <v>154</v>
      </c>
      <c r="AA21" s="40">
        <v>156</v>
      </c>
      <c r="AB21" s="40">
        <v>164</v>
      </c>
      <c r="AC21" s="40">
        <v>167</v>
      </c>
      <c r="AD21" s="40">
        <v>160</v>
      </c>
      <c r="AE21" s="40">
        <v>165</v>
      </c>
      <c r="AG21" s="40">
        <v>209</v>
      </c>
      <c r="AI21" s="40">
        <v>189</v>
      </c>
      <c r="AJ21" s="40">
        <v>190</v>
      </c>
      <c r="AK21" s="40">
        <v>181</v>
      </c>
      <c r="AM21" s="40">
        <v>158</v>
      </c>
      <c r="AN21" s="40">
        <v>110</v>
      </c>
      <c r="AP21" s="40">
        <v>187</v>
      </c>
      <c r="AQ21" s="40">
        <v>69</v>
      </c>
      <c r="AS21" s="40">
        <v>348</v>
      </c>
      <c r="AT21" s="239"/>
      <c r="AU21" s="239"/>
      <c r="AV21" s="239"/>
    </row>
    <row r="22" spans="1:48" x14ac:dyDescent="0.25">
      <c r="A22" s="191" t="s">
        <v>391</v>
      </c>
      <c r="C22" s="40">
        <v>268</v>
      </c>
      <c r="D22" s="40">
        <v>172</v>
      </c>
      <c r="E22" s="40">
        <v>1</v>
      </c>
      <c r="F22" s="40">
        <v>3</v>
      </c>
      <c r="G22" s="40">
        <v>0</v>
      </c>
      <c r="I22" s="40">
        <v>269</v>
      </c>
      <c r="J22" s="40">
        <v>156</v>
      </c>
      <c r="K22" s="40">
        <v>3</v>
      </c>
      <c r="M22" s="40">
        <v>262</v>
      </c>
      <c r="N22" s="40">
        <v>264</v>
      </c>
      <c r="O22" s="40">
        <v>161</v>
      </c>
      <c r="P22" s="40">
        <v>150</v>
      </c>
      <c r="R22" s="40">
        <v>264</v>
      </c>
      <c r="S22" s="40">
        <v>165</v>
      </c>
      <c r="U22" s="40">
        <v>272</v>
      </c>
      <c r="V22" s="40">
        <v>152</v>
      </c>
      <c r="X22" s="40">
        <v>270</v>
      </c>
      <c r="Y22" s="40">
        <v>277</v>
      </c>
      <c r="Z22" s="40">
        <v>265</v>
      </c>
      <c r="AA22" s="40">
        <v>283</v>
      </c>
      <c r="AB22" s="40">
        <v>156</v>
      </c>
      <c r="AC22" s="40">
        <v>156</v>
      </c>
      <c r="AD22" s="40">
        <v>157</v>
      </c>
      <c r="AE22" s="40">
        <v>142</v>
      </c>
      <c r="AG22" s="40">
        <v>277</v>
      </c>
      <c r="AI22" s="40">
        <v>260</v>
      </c>
      <c r="AJ22" s="40">
        <v>234</v>
      </c>
      <c r="AK22" s="40">
        <v>233</v>
      </c>
      <c r="AM22" s="40">
        <v>199</v>
      </c>
      <c r="AN22" s="40">
        <v>144</v>
      </c>
      <c r="AP22" s="40">
        <v>227</v>
      </c>
      <c r="AQ22" s="40">
        <v>85</v>
      </c>
      <c r="AS22" s="40">
        <v>449</v>
      </c>
      <c r="AT22" s="239"/>
      <c r="AU22" s="239"/>
      <c r="AV22" s="239"/>
    </row>
    <row r="23" spans="1:48" x14ac:dyDescent="0.25">
      <c r="A23" s="191" t="s">
        <v>392</v>
      </c>
      <c r="C23" s="40">
        <v>265</v>
      </c>
      <c r="D23" s="40">
        <v>133</v>
      </c>
      <c r="E23" s="40">
        <v>1</v>
      </c>
      <c r="F23" s="40">
        <v>3</v>
      </c>
      <c r="G23" s="40">
        <v>0</v>
      </c>
      <c r="I23" s="40">
        <v>279</v>
      </c>
      <c r="J23" s="40">
        <v>110</v>
      </c>
      <c r="K23" s="40">
        <v>1</v>
      </c>
      <c r="M23" s="40">
        <v>271</v>
      </c>
      <c r="N23" s="40">
        <v>267</v>
      </c>
      <c r="O23" s="40">
        <v>113</v>
      </c>
      <c r="P23" s="40">
        <v>108</v>
      </c>
      <c r="R23" s="40">
        <v>257</v>
      </c>
      <c r="S23" s="40">
        <v>128</v>
      </c>
      <c r="U23" s="40">
        <v>275</v>
      </c>
      <c r="V23" s="40">
        <v>110</v>
      </c>
      <c r="X23" s="40">
        <v>283</v>
      </c>
      <c r="Y23" s="40">
        <v>276</v>
      </c>
      <c r="Z23" s="40">
        <v>276</v>
      </c>
      <c r="AA23" s="40">
        <v>259</v>
      </c>
      <c r="AB23" s="40">
        <v>96</v>
      </c>
      <c r="AC23" s="40">
        <v>105</v>
      </c>
      <c r="AD23" s="40">
        <v>100</v>
      </c>
      <c r="AE23" s="40">
        <v>103</v>
      </c>
      <c r="AG23" s="40">
        <v>226</v>
      </c>
      <c r="AI23" s="40">
        <v>206</v>
      </c>
      <c r="AJ23" s="40">
        <v>185</v>
      </c>
      <c r="AK23" s="40">
        <v>184</v>
      </c>
      <c r="AM23" s="40">
        <v>155</v>
      </c>
      <c r="AN23" s="40">
        <v>172</v>
      </c>
      <c r="AP23" s="40">
        <v>190</v>
      </c>
      <c r="AQ23" s="40">
        <v>104</v>
      </c>
      <c r="AS23" s="40">
        <v>403</v>
      </c>
      <c r="AT23" s="239"/>
      <c r="AU23" s="239"/>
      <c r="AV23" s="239"/>
    </row>
    <row r="24" spans="1:48" x14ac:dyDescent="0.25">
      <c r="A24" s="191" t="s">
        <v>393</v>
      </c>
      <c r="C24" s="40">
        <v>380</v>
      </c>
      <c r="D24" s="40">
        <v>170</v>
      </c>
      <c r="E24" s="40">
        <v>0</v>
      </c>
      <c r="F24" s="40">
        <v>0</v>
      </c>
      <c r="G24" s="40">
        <v>1</v>
      </c>
      <c r="I24" s="40">
        <v>372</v>
      </c>
      <c r="J24" s="40">
        <v>153</v>
      </c>
      <c r="K24" s="40">
        <v>2</v>
      </c>
      <c r="M24" s="40">
        <v>363</v>
      </c>
      <c r="N24" s="40">
        <v>360</v>
      </c>
      <c r="O24" s="40">
        <v>152</v>
      </c>
      <c r="P24" s="40">
        <v>148</v>
      </c>
      <c r="R24" s="40">
        <v>352</v>
      </c>
      <c r="S24" s="40">
        <v>178</v>
      </c>
      <c r="U24" s="40">
        <v>376</v>
      </c>
      <c r="V24" s="40">
        <v>138</v>
      </c>
      <c r="X24" s="40">
        <v>371</v>
      </c>
      <c r="Y24" s="40">
        <v>356</v>
      </c>
      <c r="Z24" s="40">
        <v>349</v>
      </c>
      <c r="AA24" s="40">
        <v>339</v>
      </c>
      <c r="AB24" s="40">
        <v>157</v>
      </c>
      <c r="AC24" s="40">
        <v>158</v>
      </c>
      <c r="AD24" s="40">
        <v>147</v>
      </c>
      <c r="AE24" s="40">
        <v>151</v>
      </c>
      <c r="AG24" s="40">
        <v>294</v>
      </c>
      <c r="AI24" s="40">
        <v>291</v>
      </c>
      <c r="AJ24" s="40">
        <v>253</v>
      </c>
      <c r="AK24" s="40">
        <v>264</v>
      </c>
      <c r="AM24" s="40">
        <v>214</v>
      </c>
      <c r="AN24" s="40">
        <v>245</v>
      </c>
      <c r="AP24" s="40">
        <v>264</v>
      </c>
      <c r="AQ24" s="40">
        <v>157</v>
      </c>
      <c r="AS24" s="40">
        <v>558</v>
      </c>
      <c r="AT24" s="239"/>
      <c r="AU24" s="239"/>
      <c r="AV24" s="239"/>
    </row>
    <row r="25" spans="1:48" x14ac:dyDescent="0.25">
      <c r="A25" s="191" t="s">
        <v>394</v>
      </c>
      <c r="C25" s="40">
        <v>340</v>
      </c>
      <c r="D25" s="40">
        <v>204</v>
      </c>
      <c r="E25" s="40">
        <v>0</v>
      </c>
      <c r="F25" s="40">
        <v>1</v>
      </c>
      <c r="G25" s="40">
        <v>0</v>
      </c>
      <c r="I25" s="40">
        <v>331</v>
      </c>
      <c r="J25" s="40">
        <v>193</v>
      </c>
      <c r="K25" s="40">
        <v>3</v>
      </c>
      <c r="M25" s="40">
        <v>325</v>
      </c>
      <c r="N25" s="40">
        <v>327</v>
      </c>
      <c r="O25" s="40">
        <v>199</v>
      </c>
      <c r="P25" s="40">
        <v>196</v>
      </c>
      <c r="R25" s="40">
        <v>320</v>
      </c>
      <c r="S25" s="40">
        <v>212</v>
      </c>
      <c r="U25" s="40">
        <v>338</v>
      </c>
      <c r="V25" s="40">
        <v>183</v>
      </c>
      <c r="X25" s="40">
        <v>326</v>
      </c>
      <c r="Y25" s="40">
        <v>318</v>
      </c>
      <c r="Z25" s="40">
        <v>315</v>
      </c>
      <c r="AA25" s="40">
        <v>291</v>
      </c>
      <c r="AB25" s="40">
        <v>211</v>
      </c>
      <c r="AC25" s="40">
        <v>206</v>
      </c>
      <c r="AD25" s="40">
        <v>196</v>
      </c>
      <c r="AE25" s="40">
        <v>209</v>
      </c>
      <c r="AG25" s="40">
        <v>326</v>
      </c>
      <c r="AI25" s="40">
        <v>314</v>
      </c>
      <c r="AJ25" s="40">
        <v>282</v>
      </c>
      <c r="AK25" s="40">
        <v>296</v>
      </c>
      <c r="AM25" s="40">
        <v>230</v>
      </c>
      <c r="AN25" s="40">
        <v>216</v>
      </c>
      <c r="AP25" s="40">
        <v>286</v>
      </c>
      <c r="AQ25" s="40">
        <v>137</v>
      </c>
      <c r="AS25" s="40">
        <v>549</v>
      </c>
      <c r="AT25" s="239"/>
      <c r="AU25" s="239"/>
      <c r="AV25" s="239"/>
    </row>
    <row r="26" spans="1:48" x14ac:dyDescent="0.25">
      <c r="A26" s="191" t="s">
        <v>395</v>
      </c>
      <c r="C26" s="40">
        <v>226</v>
      </c>
      <c r="D26" s="40">
        <v>188</v>
      </c>
      <c r="E26" s="40">
        <v>0</v>
      </c>
      <c r="F26" s="40">
        <v>1</v>
      </c>
      <c r="G26" s="40">
        <v>0</v>
      </c>
      <c r="I26" s="40">
        <v>227</v>
      </c>
      <c r="J26" s="40">
        <v>172</v>
      </c>
      <c r="K26" s="40">
        <v>4</v>
      </c>
      <c r="M26" s="40">
        <v>217</v>
      </c>
      <c r="N26" s="40">
        <v>219</v>
      </c>
      <c r="O26" s="40">
        <v>174</v>
      </c>
      <c r="P26" s="40">
        <v>173</v>
      </c>
      <c r="R26" s="40">
        <v>214</v>
      </c>
      <c r="S26" s="40">
        <v>182</v>
      </c>
      <c r="U26" s="40">
        <v>230</v>
      </c>
      <c r="V26" s="40">
        <v>170</v>
      </c>
      <c r="X26" s="40">
        <v>216</v>
      </c>
      <c r="Y26" s="40">
        <v>189</v>
      </c>
      <c r="Z26" s="40">
        <v>203</v>
      </c>
      <c r="AA26" s="40">
        <v>202</v>
      </c>
      <c r="AB26" s="40">
        <v>183</v>
      </c>
      <c r="AC26" s="40">
        <v>185</v>
      </c>
      <c r="AD26" s="40">
        <v>177</v>
      </c>
      <c r="AE26" s="40">
        <v>178</v>
      </c>
      <c r="AG26" s="40">
        <v>268</v>
      </c>
      <c r="AI26" s="40">
        <v>255</v>
      </c>
      <c r="AJ26" s="40">
        <v>216</v>
      </c>
      <c r="AK26" s="40">
        <v>226</v>
      </c>
      <c r="AM26" s="40">
        <v>174</v>
      </c>
      <c r="AN26" s="40">
        <v>166</v>
      </c>
      <c r="AP26" s="40">
        <v>224</v>
      </c>
      <c r="AQ26" s="40">
        <v>90</v>
      </c>
      <c r="AS26" s="40">
        <v>417</v>
      </c>
      <c r="AT26" s="239"/>
      <c r="AU26" s="239"/>
      <c r="AV26" s="239"/>
    </row>
    <row r="27" spans="1:48" x14ac:dyDescent="0.25">
      <c r="A27" s="191" t="s">
        <v>396</v>
      </c>
      <c r="C27" s="40">
        <v>296</v>
      </c>
      <c r="D27" s="40">
        <v>218</v>
      </c>
      <c r="E27" s="40">
        <v>2</v>
      </c>
      <c r="F27" s="40">
        <v>2</v>
      </c>
      <c r="G27" s="40">
        <v>1</v>
      </c>
      <c r="I27" s="40">
        <v>292</v>
      </c>
      <c r="J27" s="40">
        <v>206</v>
      </c>
      <c r="K27" s="40">
        <v>3</v>
      </c>
      <c r="M27" s="40">
        <v>291</v>
      </c>
      <c r="N27" s="40">
        <v>283</v>
      </c>
      <c r="O27" s="40">
        <v>203</v>
      </c>
      <c r="P27" s="40">
        <v>202</v>
      </c>
      <c r="R27" s="40">
        <v>280</v>
      </c>
      <c r="S27" s="40">
        <v>217</v>
      </c>
      <c r="U27" s="40">
        <v>284</v>
      </c>
      <c r="V27" s="40">
        <v>206</v>
      </c>
      <c r="X27" s="40">
        <v>288</v>
      </c>
      <c r="Y27" s="40">
        <v>271</v>
      </c>
      <c r="Z27" s="40">
        <v>269</v>
      </c>
      <c r="AA27" s="40">
        <v>260</v>
      </c>
      <c r="AB27" s="40">
        <v>207</v>
      </c>
      <c r="AC27" s="40">
        <v>211</v>
      </c>
      <c r="AD27" s="40">
        <v>201</v>
      </c>
      <c r="AE27" s="40">
        <v>203</v>
      </c>
      <c r="AG27" s="40">
        <v>282</v>
      </c>
      <c r="AI27" s="40">
        <v>259</v>
      </c>
      <c r="AJ27" s="40">
        <v>245</v>
      </c>
      <c r="AK27" s="40">
        <v>246</v>
      </c>
      <c r="AM27" s="40">
        <v>186</v>
      </c>
      <c r="AN27" s="40">
        <v>229</v>
      </c>
      <c r="AP27" s="40">
        <v>240</v>
      </c>
      <c r="AQ27" s="40">
        <v>149</v>
      </c>
      <c r="AS27" s="40">
        <v>522</v>
      </c>
      <c r="AT27" s="240"/>
      <c r="AU27" s="240"/>
      <c r="AV27" s="240"/>
    </row>
    <row r="28" spans="1:48" ht="15.75" thickBot="1" x14ac:dyDescent="0.3"/>
    <row r="29" spans="1:48" ht="15.75" thickBot="1" x14ac:dyDescent="0.3">
      <c r="A29" s="50" t="s">
        <v>8</v>
      </c>
      <c r="B29" s="192"/>
      <c r="C29" s="51">
        <f>+SUM(C11:C27)</f>
        <v>4993</v>
      </c>
      <c r="D29" s="51">
        <f>+SUM(D11:D27)</f>
        <v>2751</v>
      </c>
      <c r="E29" s="51">
        <f t="shared" ref="E29:AN29" si="0">+SUM(E11:E27)</f>
        <v>15</v>
      </c>
      <c r="F29" s="51">
        <f t="shared" ref="F29:P29" si="1">+SUM(F11:F27)</f>
        <v>18</v>
      </c>
      <c r="G29" s="51">
        <f t="shared" si="1"/>
        <v>4</v>
      </c>
      <c r="I29" s="51">
        <f t="shared" si="1"/>
        <v>4955</v>
      </c>
      <c r="J29" s="51">
        <f t="shared" si="1"/>
        <v>2522</v>
      </c>
      <c r="K29" s="51">
        <f t="shared" si="1"/>
        <v>60</v>
      </c>
      <c r="M29" s="51">
        <f t="shared" si="1"/>
        <v>4871</v>
      </c>
      <c r="N29" s="51">
        <f t="shared" si="1"/>
        <v>4825</v>
      </c>
      <c r="O29" s="51">
        <f t="shared" si="1"/>
        <v>2560</v>
      </c>
      <c r="P29" s="51">
        <f t="shared" si="1"/>
        <v>2507</v>
      </c>
      <c r="R29" s="51">
        <f t="shared" si="0"/>
        <v>4738</v>
      </c>
      <c r="S29" s="51">
        <f t="shared" si="0"/>
        <v>2759</v>
      </c>
      <c r="U29" s="51">
        <f t="shared" si="0"/>
        <v>4971</v>
      </c>
      <c r="V29" s="51">
        <f t="shared" si="0"/>
        <v>2435</v>
      </c>
      <c r="X29" s="51">
        <f t="shared" si="0"/>
        <v>4934</v>
      </c>
      <c r="Y29" s="51">
        <f t="shared" ref="Y29:AD29" si="2">+SUM(Y11:Y27)</f>
        <v>4789</v>
      </c>
      <c r="Z29" s="51">
        <f t="shared" si="2"/>
        <v>4733</v>
      </c>
      <c r="AA29" s="51">
        <f t="shared" si="2"/>
        <v>4627</v>
      </c>
      <c r="AB29" s="51">
        <f t="shared" si="2"/>
        <v>2578</v>
      </c>
      <c r="AC29" s="51">
        <f t="shared" si="2"/>
        <v>2550</v>
      </c>
      <c r="AD29" s="51">
        <f t="shared" si="2"/>
        <v>2481</v>
      </c>
      <c r="AE29" s="51">
        <f t="shared" si="0"/>
        <v>2527</v>
      </c>
      <c r="AG29" s="51">
        <f t="shared" si="0"/>
        <v>4651</v>
      </c>
      <c r="AI29" s="51">
        <f t="shared" si="0"/>
        <v>4464</v>
      </c>
      <c r="AJ29" s="51">
        <f t="shared" si="0"/>
        <v>3915</v>
      </c>
      <c r="AK29" s="51">
        <f t="shared" si="0"/>
        <v>4053</v>
      </c>
      <c r="AM29" s="51">
        <f t="shared" si="0"/>
        <v>3119</v>
      </c>
      <c r="AN29" s="51">
        <f t="shared" si="0"/>
        <v>3175</v>
      </c>
      <c r="AP29" s="51">
        <f t="shared" ref="AP29:AQ29" si="3">+SUM(AP11:AP27)</f>
        <v>3875</v>
      </c>
      <c r="AQ29" s="51">
        <f t="shared" si="3"/>
        <v>1986</v>
      </c>
      <c r="AS29" s="51">
        <f t="shared" ref="AS29:AV29" si="4">+SUM(AS11:AS27)</f>
        <v>7841</v>
      </c>
      <c r="AT29" s="51">
        <f t="shared" si="4"/>
        <v>1660</v>
      </c>
      <c r="AU29" s="51">
        <f t="shared" si="4"/>
        <v>1995</v>
      </c>
      <c r="AV29" s="51">
        <f t="shared" si="4"/>
        <v>284</v>
      </c>
    </row>
    <row r="30" spans="1:48" x14ac:dyDescent="0.25">
      <c r="A30" s="92" t="s">
        <v>146</v>
      </c>
      <c r="B30" s="192"/>
      <c r="C30" s="53">
        <v>819</v>
      </c>
      <c r="D30" s="53">
        <v>823</v>
      </c>
      <c r="E30" s="53">
        <v>6</v>
      </c>
      <c r="F30" s="53">
        <v>2</v>
      </c>
      <c r="G30" s="53">
        <v>1</v>
      </c>
      <c r="H30" s="138"/>
      <c r="I30" s="53">
        <v>828</v>
      </c>
      <c r="J30" s="53">
        <v>763</v>
      </c>
      <c r="K30" s="53">
        <v>13</v>
      </c>
      <c r="L30" s="138"/>
      <c r="M30" s="53">
        <v>827</v>
      </c>
      <c r="N30" s="53">
        <v>829</v>
      </c>
      <c r="O30" s="53">
        <v>769</v>
      </c>
      <c r="P30" s="53">
        <v>768</v>
      </c>
      <c r="Q30" s="138"/>
      <c r="R30" s="53">
        <v>794</v>
      </c>
      <c r="S30" s="53">
        <v>810</v>
      </c>
      <c r="T30" s="138"/>
      <c r="U30" s="53">
        <v>856</v>
      </c>
      <c r="V30" s="53">
        <v>732</v>
      </c>
      <c r="W30" s="138"/>
      <c r="X30" s="53">
        <v>840</v>
      </c>
      <c r="Y30" s="53">
        <v>838</v>
      </c>
      <c r="Z30" s="53">
        <v>827</v>
      </c>
      <c r="AA30" s="53">
        <v>805</v>
      </c>
      <c r="AB30" s="53">
        <v>772</v>
      </c>
      <c r="AC30" s="53">
        <v>782</v>
      </c>
      <c r="AD30" s="53">
        <v>755</v>
      </c>
      <c r="AE30" s="53">
        <v>761</v>
      </c>
      <c r="AF30" s="138"/>
      <c r="AG30" s="53">
        <v>982</v>
      </c>
      <c r="AH30" s="138"/>
      <c r="AI30" s="53">
        <v>936</v>
      </c>
      <c r="AJ30" s="53">
        <v>884</v>
      </c>
      <c r="AK30" s="53">
        <v>930</v>
      </c>
      <c r="AL30" s="138"/>
      <c r="AM30" s="53">
        <v>719</v>
      </c>
      <c r="AN30" s="53">
        <v>781</v>
      </c>
      <c r="AO30" s="138"/>
      <c r="AP30" s="53">
        <v>984</v>
      </c>
      <c r="AQ30" s="53">
        <v>511</v>
      </c>
      <c r="AS30" s="93"/>
      <c r="AT30" s="93"/>
      <c r="AU30" s="93"/>
      <c r="AV30" s="93"/>
    </row>
    <row r="31" spans="1:48" x14ac:dyDescent="0.25">
      <c r="A31" s="92" t="s">
        <v>43</v>
      </c>
      <c r="B31" s="192"/>
      <c r="C31" s="41">
        <v>617</v>
      </c>
      <c r="D31" s="41">
        <v>1341</v>
      </c>
      <c r="E31" s="41">
        <v>9</v>
      </c>
      <c r="F31" s="41">
        <v>3</v>
      </c>
      <c r="G31" s="41">
        <v>1</v>
      </c>
      <c r="H31" s="138"/>
      <c r="I31" s="41">
        <v>652</v>
      </c>
      <c r="J31" s="41">
        <v>1264</v>
      </c>
      <c r="K31" s="41">
        <v>12</v>
      </c>
      <c r="L31" s="138"/>
      <c r="M31" s="41">
        <v>632</v>
      </c>
      <c r="N31" s="41">
        <v>649</v>
      </c>
      <c r="O31" s="41">
        <v>1277</v>
      </c>
      <c r="P31" s="41">
        <v>1260</v>
      </c>
      <c r="Q31" s="138"/>
      <c r="R31" s="41">
        <v>612</v>
      </c>
      <c r="S31" s="41">
        <v>1315</v>
      </c>
      <c r="T31" s="138"/>
      <c r="U31" s="41">
        <v>702</v>
      </c>
      <c r="V31" s="41">
        <v>1205</v>
      </c>
      <c r="W31" s="138"/>
      <c r="X31" s="41">
        <v>647</v>
      </c>
      <c r="Y31" s="41">
        <v>659</v>
      </c>
      <c r="Z31" s="41">
        <v>630</v>
      </c>
      <c r="AA31" s="41">
        <v>599</v>
      </c>
      <c r="AB31" s="41">
        <v>1280</v>
      </c>
      <c r="AC31" s="41">
        <v>1270</v>
      </c>
      <c r="AD31" s="41">
        <v>1235</v>
      </c>
      <c r="AE31" s="41">
        <v>1271</v>
      </c>
      <c r="AF31" s="138"/>
      <c r="AG31" s="41">
        <v>1261</v>
      </c>
      <c r="AH31" s="138"/>
      <c r="AI31" s="41">
        <v>1261</v>
      </c>
      <c r="AJ31" s="41">
        <v>1171</v>
      </c>
      <c r="AK31" s="41">
        <v>1231</v>
      </c>
      <c r="AL31" s="138"/>
      <c r="AM31" s="41">
        <v>692</v>
      </c>
      <c r="AN31" s="41">
        <v>986</v>
      </c>
      <c r="AO31" s="138"/>
      <c r="AP31" s="41">
        <v>1106</v>
      </c>
      <c r="AQ31" s="41">
        <v>528</v>
      </c>
      <c r="AS31" s="93"/>
      <c r="AT31" s="93"/>
      <c r="AU31" s="93"/>
      <c r="AV31" s="93"/>
    </row>
    <row r="32" spans="1:48" x14ac:dyDescent="0.25">
      <c r="A32" s="94" t="s">
        <v>644</v>
      </c>
      <c r="B32" s="192"/>
      <c r="C32" s="95">
        <v>19</v>
      </c>
      <c r="D32" s="95">
        <v>40</v>
      </c>
      <c r="E32" s="95">
        <v>0</v>
      </c>
      <c r="F32" s="95">
        <v>0</v>
      </c>
      <c r="G32" s="95">
        <v>0</v>
      </c>
      <c r="H32" s="138"/>
      <c r="I32" s="95">
        <v>21</v>
      </c>
      <c r="J32" s="95">
        <v>38</v>
      </c>
      <c r="K32" s="95">
        <v>0</v>
      </c>
      <c r="L32" s="138"/>
      <c r="M32" s="95">
        <v>16</v>
      </c>
      <c r="N32" s="95">
        <v>18</v>
      </c>
      <c r="O32" s="95">
        <v>39</v>
      </c>
      <c r="P32" s="95">
        <v>41</v>
      </c>
      <c r="Q32" s="138"/>
      <c r="R32" s="95">
        <v>16</v>
      </c>
      <c r="S32" s="95">
        <v>42</v>
      </c>
      <c r="T32" s="138"/>
      <c r="U32" s="95">
        <v>19</v>
      </c>
      <c r="V32" s="95">
        <v>38</v>
      </c>
      <c r="W32" s="138"/>
      <c r="X32" s="95">
        <v>18</v>
      </c>
      <c r="Y32" s="95">
        <v>17</v>
      </c>
      <c r="Z32" s="95">
        <v>18</v>
      </c>
      <c r="AA32" s="95">
        <v>18</v>
      </c>
      <c r="AB32" s="95">
        <v>42</v>
      </c>
      <c r="AC32" s="95">
        <v>41</v>
      </c>
      <c r="AD32" s="95">
        <v>40</v>
      </c>
      <c r="AE32" s="95">
        <v>42</v>
      </c>
      <c r="AF32" s="138"/>
      <c r="AG32" s="95">
        <v>38</v>
      </c>
      <c r="AH32" s="138"/>
      <c r="AI32" s="95">
        <v>34</v>
      </c>
      <c r="AJ32" s="95">
        <v>29</v>
      </c>
      <c r="AK32" s="95">
        <v>33</v>
      </c>
      <c r="AL32" s="138"/>
      <c r="AM32" s="95">
        <v>27</v>
      </c>
      <c r="AN32" s="95">
        <v>29</v>
      </c>
      <c r="AO32" s="138"/>
      <c r="AP32" s="95">
        <v>37</v>
      </c>
      <c r="AQ32" s="95">
        <v>19</v>
      </c>
      <c r="AS32" s="93"/>
      <c r="AT32" s="93"/>
      <c r="AU32" s="93"/>
      <c r="AV32" s="93"/>
    </row>
    <row r="33" spans="1:48" x14ac:dyDescent="0.25">
      <c r="A33" s="94" t="s">
        <v>645</v>
      </c>
      <c r="B33" s="192"/>
      <c r="C33" s="95">
        <v>117</v>
      </c>
      <c r="D33" s="95">
        <v>97</v>
      </c>
      <c r="E33" s="95">
        <v>3</v>
      </c>
      <c r="F33" s="95">
        <v>0</v>
      </c>
      <c r="G33" s="95">
        <v>1</v>
      </c>
      <c r="H33" s="138"/>
      <c r="I33" s="95">
        <v>123</v>
      </c>
      <c r="J33" s="95">
        <v>92</v>
      </c>
      <c r="K33" s="95">
        <v>2</v>
      </c>
      <c r="L33" s="138"/>
      <c r="M33" s="95">
        <v>124</v>
      </c>
      <c r="N33" s="95">
        <v>122</v>
      </c>
      <c r="O33" s="95">
        <v>92</v>
      </c>
      <c r="P33" s="95">
        <v>90</v>
      </c>
      <c r="Q33" s="138"/>
      <c r="R33" s="95">
        <v>121</v>
      </c>
      <c r="S33" s="95">
        <v>94</v>
      </c>
      <c r="T33" s="138"/>
      <c r="U33" s="95">
        <v>123</v>
      </c>
      <c r="V33" s="95">
        <v>92</v>
      </c>
      <c r="W33" s="138"/>
      <c r="X33" s="95">
        <v>121</v>
      </c>
      <c r="Y33" s="95">
        <v>121</v>
      </c>
      <c r="Z33" s="95">
        <v>118</v>
      </c>
      <c r="AA33" s="95">
        <v>118</v>
      </c>
      <c r="AB33" s="95">
        <v>92</v>
      </c>
      <c r="AC33" s="95">
        <v>90</v>
      </c>
      <c r="AD33" s="95">
        <v>89</v>
      </c>
      <c r="AE33" s="95">
        <v>89</v>
      </c>
      <c r="AF33" s="138"/>
      <c r="AG33" s="95">
        <v>134</v>
      </c>
      <c r="AH33" s="138"/>
      <c r="AI33" s="95">
        <v>125</v>
      </c>
      <c r="AJ33" s="95">
        <v>119</v>
      </c>
      <c r="AK33" s="95">
        <v>121</v>
      </c>
      <c r="AL33" s="138"/>
      <c r="AM33" s="95">
        <v>87</v>
      </c>
      <c r="AN33" s="95">
        <v>87</v>
      </c>
      <c r="AO33" s="138"/>
      <c r="AP33" s="95">
        <v>107</v>
      </c>
      <c r="AQ33" s="95">
        <v>60</v>
      </c>
      <c r="AS33" s="93"/>
      <c r="AT33" s="93"/>
      <c r="AU33" s="93"/>
      <c r="AV33" s="93"/>
    </row>
    <row r="34" spans="1:48" ht="15.75" thickBot="1" x14ac:dyDescent="0.3">
      <c r="A34" s="94" t="s">
        <v>651</v>
      </c>
      <c r="B34" s="192"/>
      <c r="C34" s="95">
        <f>5+2</f>
        <v>7</v>
      </c>
      <c r="D34" s="95">
        <f>4+1</f>
        <v>5</v>
      </c>
      <c r="E34" s="95">
        <v>0</v>
      </c>
      <c r="F34" s="95">
        <v>0</v>
      </c>
      <c r="G34" s="95">
        <v>0</v>
      </c>
      <c r="H34" s="138"/>
      <c r="I34" s="95">
        <f>5</f>
        <v>5</v>
      </c>
      <c r="J34" s="95">
        <f>3</f>
        <v>3</v>
      </c>
      <c r="K34" s="95">
        <v>0</v>
      </c>
      <c r="L34" s="138"/>
      <c r="M34" s="95">
        <f>4</f>
        <v>4</v>
      </c>
      <c r="N34" s="95">
        <f>5</f>
        <v>5</v>
      </c>
      <c r="O34" s="95">
        <f>4</f>
        <v>4</v>
      </c>
      <c r="P34" s="95">
        <f>3</f>
        <v>3</v>
      </c>
      <c r="Q34" s="138"/>
      <c r="R34" s="95">
        <f>4+2</f>
        <v>6</v>
      </c>
      <c r="S34" s="95">
        <f>4+2</f>
        <v>6</v>
      </c>
      <c r="T34" s="138"/>
      <c r="U34" s="95">
        <f>4+3</f>
        <v>7</v>
      </c>
      <c r="V34" s="95">
        <f>4+1</f>
        <v>5</v>
      </c>
      <c r="W34" s="138"/>
      <c r="X34" s="95">
        <f>4</f>
        <v>4</v>
      </c>
      <c r="Y34" s="95">
        <f>5</f>
        <v>5</v>
      </c>
      <c r="Z34" s="95">
        <f>4</f>
        <v>4</v>
      </c>
      <c r="AA34" s="95">
        <f>4</f>
        <v>4</v>
      </c>
      <c r="AB34" s="95">
        <f>4</f>
        <v>4</v>
      </c>
      <c r="AC34" s="95">
        <f>4</f>
        <v>4</v>
      </c>
      <c r="AD34" s="95">
        <f>4</f>
        <v>4</v>
      </c>
      <c r="AE34" s="95">
        <f>4</f>
        <v>4</v>
      </c>
      <c r="AF34" s="138"/>
      <c r="AG34" s="95">
        <f>4</f>
        <v>4</v>
      </c>
      <c r="AH34" s="138"/>
      <c r="AI34" s="95">
        <f>3+1</f>
        <v>4</v>
      </c>
      <c r="AJ34" s="95">
        <f>2+1</f>
        <v>3</v>
      </c>
      <c r="AK34" s="95">
        <f>2</f>
        <v>2</v>
      </c>
      <c r="AL34" s="138"/>
      <c r="AM34" s="95">
        <f>3+1</f>
        <v>4</v>
      </c>
      <c r="AN34" s="95">
        <f>2</f>
        <v>2</v>
      </c>
      <c r="AO34" s="138"/>
      <c r="AP34" s="95">
        <f>3+1</f>
        <v>4</v>
      </c>
      <c r="AQ34" s="95">
        <f>2</f>
        <v>2</v>
      </c>
      <c r="AS34" s="93"/>
      <c r="AT34" s="93"/>
      <c r="AU34" s="93"/>
      <c r="AV34" s="93"/>
    </row>
    <row r="35" spans="1:48" ht="15.75" thickBot="1" x14ac:dyDescent="0.3">
      <c r="A35" s="50" t="s">
        <v>45</v>
      </c>
      <c r="B35" s="192"/>
      <c r="C35" s="51">
        <f>+SUM(C29:C34)</f>
        <v>6572</v>
      </c>
      <c r="D35" s="51">
        <f t="shared" ref="D35:G35" si="5">+SUM(D29:D34)</f>
        <v>5057</v>
      </c>
      <c r="E35" s="51">
        <f t="shared" si="5"/>
        <v>33</v>
      </c>
      <c r="F35" s="51">
        <f t="shared" si="5"/>
        <v>23</v>
      </c>
      <c r="G35" s="51">
        <f t="shared" si="5"/>
        <v>7</v>
      </c>
      <c r="I35" s="51">
        <f t="shared" ref="I35:K35" si="6">+SUM(I29:I34)</f>
        <v>6584</v>
      </c>
      <c r="J35" s="51">
        <f t="shared" si="6"/>
        <v>4682</v>
      </c>
      <c r="K35" s="51">
        <f t="shared" si="6"/>
        <v>87</v>
      </c>
      <c r="M35" s="51">
        <f t="shared" ref="M35:P35" si="7">+SUM(M29:M34)</f>
        <v>6474</v>
      </c>
      <c r="N35" s="51">
        <f t="shared" si="7"/>
        <v>6448</v>
      </c>
      <c r="O35" s="51">
        <f t="shared" si="7"/>
        <v>4741</v>
      </c>
      <c r="P35" s="51">
        <f t="shared" si="7"/>
        <v>4669</v>
      </c>
      <c r="R35" s="51">
        <f t="shared" ref="R35:S35" si="8">+SUM(R29:R34)</f>
        <v>6287</v>
      </c>
      <c r="S35" s="51">
        <f t="shared" si="8"/>
        <v>5026</v>
      </c>
      <c r="U35" s="51">
        <f t="shared" ref="U35:V35" si="9">+SUM(U29:U34)</f>
        <v>6678</v>
      </c>
      <c r="V35" s="51">
        <f t="shared" si="9"/>
        <v>4507</v>
      </c>
      <c r="X35" s="51">
        <f t="shared" ref="X35:AE35" si="10">+SUM(X29:X34)</f>
        <v>6564</v>
      </c>
      <c r="Y35" s="51">
        <f t="shared" si="10"/>
        <v>6429</v>
      </c>
      <c r="Z35" s="51">
        <f t="shared" si="10"/>
        <v>6330</v>
      </c>
      <c r="AA35" s="51">
        <f t="shared" si="10"/>
        <v>6171</v>
      </c>
      <c r="AB35" s="51">
        <f t="shared" si="10"/>
        <v>4768</v>
      </c>
      <c r="AC35" s="51">
        <f t="shared" si="10"/>
        <v>4737</v>
      </c>
      <c r="AD35" s="51">
        <f t="shared" si="10"/>
        <v>4604</v>
      </c>
      <c r="AE35" s="51">
        <f t="shared" si="10"/>
        <v>4694</v>
      </c>
      <c r="AG35" s="51">
        <f>+SUM(AG29:AG34)</f>
        <v>7070</v>
      </c>
      <c r="AI35" s="51">
        <f t="shared" ref="AI35:AK35" si="11">+SUM(AI29:AI34)</f>
        <v>6824</v>
      </c>
      <c r="AJ35" s="51">
        <f t="shared" si="11"/>
        <v>6121</v>
      </c>
      <c r="AK35" s="51">
        <f t="shared" si="11"/>
        <v>6370</v>
      </c>
      <c r="AM35" s="51">
        <f t="shared" ref="AM35:AN35" si="12">+SUM(AM29:AM34)</f>
        <v>4648</v>
      </c>
      <c r="AN35" s="51">
        <f t="shared" si="12"/>
        <v>5060</v>
      </c>
      <c r="AP35" s="51">
        <f t="shared" ref="AP35:AQ35" si="13">+SUM(AP29:AP34)</f>
        <v>6113</v>
      </c>
      <c r="AQ35" s="51">
        <f t="shared" si="13"/>
        <v>3106</v>
      </c>
      <c r="AS35" s="96"/>
      <c r="AT35" s="96"/>
      <c r="AU35" s="96"/>
      <c r="AV35" s="96"/>
    </row>
  </sheetData>
  <mergeCells count="20">
    <mergeCell ref="AI2:AK2"/>
    <mergeCell ref="AI3:AK3"/>
    <mergeCell ref="C2:G2"/>
    <mergeCell ref="C3:G3"/>
    <mergeCell ref="I2:P2"/>
    <mergeCell ref="I3:K3"/>
    <mergeCell ref="M3:P3"/>
    <mergeCell ref="R3:S3"/>
    <mergeCell ref="U3:V3"/>
    <mergeCell ref="X3:AE3"/>
    <mergeCell ref="AT11:AT27"/>
    <mergeCell ref="AU11:AU27"/>
    <mergeCell ref="AS2:AV3"/>
    <mergeCell ref="AM3:AN3"/>
    <mergeCell ref="AP3:AQ3"/>
    <mergeCell ref="AM6:AM8"/>
    <mergeCell ref="AN6:AN8"/>
    <mergeCell ref="AP6:AP8"/>
    <mergeCell ref="AQ6:AQ8"/>
    <mergeCell ref="AV11:AV27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6" max="1048575" man="1"/>
    <brk id="3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1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8.7109375" style="191" bestFit="1" customWidth="1"/>
    <col min="2" max="2" width="1.7109375" style="191" customWidth="1"/>
    <col min="3" max="5" width="12.7109375" style="191" customWidth="1"/>
    <col min="6" max="6" width="14.7109375" style="191" customWidth="1"/>
    <col min="7" max="7" width="15" style="191" customWidth="1"/>
    <col min="8" max="8" width="1.7109375" style="191" customWidth="1"/>
    <col min="9" max="10" width="12.7109375" style="191" customWidth="1"/>
    <col min="11" max="11" width="1.7109375" style="191" customWidth="1"/>
    <col min="12" max="15" width="12.7109375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7" width="14" style="191" customWidth="1"/>
    <col min="28" max="28" width="1.7109375" style="191" customWidth="1"/>
    <col min="29" max="32" width="14" style="191" customWidth="1"/>
    <col min="33" max="33" width="1.7109375" style="191" customWidth="1"/>
    <col min="34" max="34" width="18.85546875" style="191" customWidth="1"/>
    <col min="35" max="35" width="1.7109375" style="191" customWidth="1"/>
    <col min="36" max="39" width="9.7109375" style="191" customWidth="1"/>
    <col min="40" max="40" width="1.7109375" style="191" customWidth="1"/>
    <col min="41" max="41" width="17.85546875" style="191" customWidth="1"/>
    <col min="42" max="42" width="1.7109375" style="191" customWidth="1"/>
    <col min="43" max="44" width="9.7109375" style="191" customWidth="1"/>
    <col min="45" max="45" width="1.7109375" style="191" customWidth="1"/>
    <col min="46" max="47" width="9.7109375" style="191" customWidth="1"/>
    <col min="48" max="48" width="1.7109375" style="191" customWidth="1"/>
    <col min="49" max="50" width="9.7109375" style="191" customWidth="1"/>
    <col min="51" max="51" width="1.7109375" style="191" customWidth="1"/>
    <col min="52" max="52" width="11.85546875" style="191" customWidth="1"/>
    <col min="53" max="54" width="9.5703125" style="191" customWidth="1"/>
    <col min="55" max="63" width="13.42578125" style="191" customWidth="1"/>
    <col min="64" max="16384" width="9.140625" style="191"/>
  </cols>
  <sheetData>
    <row r="1" spans="1:55" x14ac:dyDescent="0.25">
      <c r="AH1" s="177" t="s">
        <v>444</v>
      </c>
      <c r="AJ1" s="203"/>
      <c r="AK1" s="203"/>
      <c r="AL1" s="203"/>
      <c r="AM1" s="203"/>
      <c r="AO1" s="177" t="s">
        <v>357</v>
      </c>
    </row>
    <row r="2" spans="1:55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224" t="s">
        <v>124</v>
      </c>
      <c r="X2" s="226"/>
      <c r="Z2" s="80"/>
      <c r="AA2" s="81"/>
      <c r="AC2" s="145"/>
      <c r="AD2" s="149"/>
      <c r="AE2" s="149"/>
      <c r="AF2" s="146"/>
      <c r="AH2" s="178" t="s">
        <v>311</v>
      </c>
      <c r="AJ2" s="145"/>
      <c r="AK2" s="149"/>
      <c r="AL2" s="149"/>
      <c r="AM2" s="146"/>
      <c r="AO2" s="178" t="s">
        <v>151</v>
      </c>
      <c r="AQ2" s="80"/>
      <c r="AR2" s="81"/>
      <c r="AS2" s="9"/>
      <c r="AT2" s="80"/>
      <c r="AU2" s="81"/>
      <c r="AW2" s="80"/>
      <c r="AX2" s="81"/>
      <c r="AZ2" s="234" t="s">
        <v>5</v>
      </c>
      <c r="BA2" s="235"/>
      <c r="BB2" s="235"/>
      <c r="BC2" s="236"/>
    </row>
    <row r="3" spans="1:55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150"/>
      <c r="L3" s="227" t="s">
        <v>0</v>
      </c>
      <c r="M3" s="227"/>
      <c r="N3" s="227"/>
      <c r="O3" s="223"/>
      <c r="P3" s="132"/>
      <c r="Q3" s="222" t="s">
        <v>121</v>
      </c>
      <c r="R3" s="223"/>
      <c r="S3" s="132"/>
      <c r="T3" s="222" t="s">
        <v>122</v>
      </c>
      <c r="U3" s="223"/>
      <c r="V3" s="132"/>
      <c r="W3" s="222" t="s">
        <v>259</v>
      </c>
      <c r="X3" s="223"/>
      <c r="Y3" s="132"/>
      <c r="Z3" s="222" t="s">
        <v>125</v>
      </c>
      <c r="AA3" s="223"/>
      <c r="AB3" s="132"/>
      <c r="AC3" s="222" t="s">
        <v>261</v>
      </c>
      <c r="AD3" s="227"/>
      <c r="AE3" s="227"/>
      <c r="AF3" s="223"/>
      <c r="AG3" s="132"/>
      <c r="AH3" s="178" t="s">
        <v>312</v>
      </c>
      <c r="AI3" s="132"/>
      <c r="AJ3" s="222" t="s">
        <v>240</v>
      </c>
      <c r="AK3" s="227"/>
      <c r="AL3" s="227"/>
      <c r="AM3" s="223"/>
      <c r="AN3" s="132"/>
      <c r="AO3" s="178" t="s">
        <v>454</v>
      </c>
      <c r="AP3" s="132"/>
      <c r="AQ3" s="222" t="s">
        <v>126</v>
      </c>
      <c r="AR3" s="223"/>
      <c r="AS3" s="9"/>
      <c r="AT3" s="222" t="s">
        <v>127</v>
      </c>
      <c r="AU3" s="223"/>
      <c r="AW3" s="222" t="s">
        <v>541</v>
      </c>
      <c r="AX3" s="223"/>
      <c r="AZ3" s="219"/>
      <c r="BA3" s="220"/>
      <c r="BB3" s="220"/>
      <c r="BC3" s="221"/>
    </row>
    <row r="4" spans="1:55" ht="5.0999999999999996" customHeight="1" thickBot="1" x14ac:dyDescent="0.3">
      <c r="C4" s="115"/>
      <c r="D4" s="117"/>
      <c r="E4" s="117"/>
      <c r="F4" s="117"/>
      <c r="G4" s="116"/>
      <c r="H4" s="132"/>
      <c r="I4" s="115"/>
      <c r="J4" s="117"/>
      <c r="K4" s="150"/>
      <c r="L4" s="68"/>
      <c r="M4" s="68"/>
      <c r="N4" s="68"/>
      <c r="O4" s="69"/>
      <c r="P4" s="132"/>
      <c r="Q4" s="82"/>
      <c r="R4" s="83"/>
      <c r="S4" s="132"/>
      <c r="T4" s="82"/>
      <c r="U4" s="83"/>
      <c r="V4" s="132"/>
      <c r="W4" s="82"/>
      <c r="X4" s="83"/>
      <c r="Y4" s="132"/>
      <c r="Z4" s="82"/>
      <c r="AA4" s="83"/>
      <c r="AB4" s="132"/>
      <c r="AC4" s="99"/>
      <c r="AD4" s="68"/>
      <c r="AE4" s="68"/>
      <c r="AF4" s="69"/>
      <c r="AG4" s="132"/>
      <c r="AH4" s="179"/>
      <c r="AI4" s="132"/>
      <c r="AJ4" s="99"/>
      <c r="AK4" s="68"/>
      <c r="AL4" s="68"/>
      <c r="AM4" s="69"/>
      <c r="AN4" s="132"/>
      <c r="AO4" s="198"/>
      <c r="AP4" s="132"/>
      <c r="AQ4" s="75"/>
      <c r="AR4" s="74"/>
      <c r="AS4" s="9"/>
      <c r="AT4" s="75"/>
      <c r="AU4" s="74"/>
      <c r="AW4" s="75"/>
      <c r="AX4" s="74"/>
      <c r="AZ4" s="204"/>
      <c r="BA4" s="205"/>
      <c r="BB4" s="205"/>
      <c r="BC4" s="206"/>
    </row>
    <row r="5" spans="1:55" x14ac:dyDescent="0.25">
      <c r="C5" s="5"/>
      <c r="D5" s="8"/>
      <c r="E5" s="8"/>
      <c r="F5" s="8"/>
      <c r="G5" s="6"/>
      <c r="H5" s="132"/>
      <c r="I5" s="5"/>
      <c r="J5" s="6"/>
      <c r="K5" s="132"/>
      <c r="L5" s="89"/>
      <c r="M5" s="98"/>
      <c r="N5" s="98"/>
      <c r="O5" s="6"/>
      <c r="P5" s="132"/>
      <c r="Q5" s="5"/>
      <c r="R5" s="6"/>
      <c r="S5" s="132"/>
      <c r="T5" s="5"/>
      <c r="U5" s="6"/>
      <c r="V5" s="132"/>
      <c r="W5" s="194"/>
      <c r="X5" s="195"/>
      <c r="Y5" s="132"/>
      <c r="Z5" s="194"/>
      <c r="AA5" s="195"/>
      <c r="AB5" s="132"/>
      <c r="AC5" s="194"/>
      <c r="AD5" s="196"/>
      <c r="AE5" s="196"/>
      <c r="AF5" s="195"/>
      <c r="AG5" s="132"/>
      <c r="AH5" s="197"/>
      <c r="AI5" s="132"/>
      <c r="AJ5" s="194"/>
      <c r="AK5" s="196"/>
      <c r="AL5" s="196"/>
      <c r="AM5" s="195"/>
      <c r="AN5" s="132"/>
      <c r="AO5" s="197"/>
      <c r="AP5" s="132"/>
      <c r="AQ5" s="10"/>
      <c r="AR5" s="12"/>
      <c r="AS5" s="9"/>
      <c r="AT5" s="10"/>
      <c r="AU5" s="12"/>
      <c r="AW5" s="10"/>
      <c r="AX5" s="12"/>
      <c r="AZ5" s="157"/>
      <c r="BA5" s="158"/>
      <c r="BB5" s="158"/>
      <c r="BC5" s="159"/>
    </row>
    <row r="6" spans="1:55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20" t="str">
        <f>+'Lead Sheet'!S6</f>
        <v>Vince</v>
      </c>
      <c r="J6" s="21" t="str">
        <f>+'Lead Sheet'!T6</f>
        <v>Vince</v>
      </c>
      <c r="K6" s="132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132"/>
      <c r="Q6" s="20" t="str">
        <f>+'Lead Sheet'!AR6</f>
        <v>Joseph J.</v>
      </c>
      <c r="R6" s="21" t="str">
        <f>+'Lead Sheet'!AS6</f>
        <v>Lisa</v>
      </c>
      <c r="S6" s="132"/>
      <c r="T6" s="20" t="str">
        <f>+'Lead Sheet'!AU6</f>
        <v>Frank X.</v>
      </c>
      <c r="U6" s="21" t="str">
        <f>+'Lead Sheet'!AV6</f>
        <v>Celeste</v>
      </c>
      <c r="V6" s="132"/>
      <c r="W6" s="20" t="str">
        <f>+'Lead Sheet'!BA6</f>
        <v>Andrew</v>
      </c>
      <c r="X6" s="21" t="str">
        <f>+'Lead Sheet'!BB6</f>
        <v>Thelma</v>
      </c>
      <c r="Y6" s="132"/>
      <c r="Z6" s="20" t="str">
        <f>+'Lead Sheet'!BD6</f>
        <v>James</v>
      </c>
      <c r="AA6" s="21" t="str">
        <f>+'Lead Sheet'!BE6</f>
        <v>Dr. William</v>
      </c>
      <c r="AB6" s="132"/>
      <c r="AC6" s="20" t="s">
        <v>434</v>
      </c>
      <c r="AD6" s="7" t="s">
        <v>436</v>
      </c>
      <c r="AE6" s="7" t="s">
        <v>438</v>
      </c>
      <c r="AF6" s="21" t="s">
        <v>440</v>
      </c>
      <c r="AG6" s="132"/>
      <c r="AH6" s="193" t="s">
        <v>442</v>
      </c>
      <c r="AI6" s="132"/>
      <c r="AJ6" s="20" t="s">
        <v>445</v>
      </c>
      <c r="AK6" s="7" t="s">
        <v>447</v>
      </c>
      <c r="AL6" s="7" t="s">
        <v>449</v>
      </c>
      <c r="AM6" s="21" t="s">
        <v>450</v>
      </c>
      <c r="AN6" s="132"/>
      <c r="AO6" s="193" t="s">
        <v>140</v>
      </c>
      <c r="AP6" s="132"/>
      <c r="AQ6" s="229" t="s">
        <v>9</v>
      </c>
      <c r="AR6" s="230" t="s">
        <v>10</v>
      </c>
      <c r="AS6" s="9"/>
      <c r="AT6" s="229" t="s">
        <v>9</v>
      </c>
      <c r="AU6" s="230" t="s">
        <v>10</v>
      </c>
      <c r="AW6" s="229" t="s">
        <v>9</v>
      </c>
      <c r="AX6" s="230" t="s">
        <v>10</v>
      </c>
      <c r="AZ6" s="160" t="s">
        <v>8</v>
      </c>
      <c r="BA6" s="161" t="s">
        <v>8</v>
      </c>
      <c r="BB6" s="161" t="s">
        <v>8</v>
      </c>
      <c r="BC6" s="162" t="s">
        <v>8</v>
      </c>
    </row>
    <row r="7" spans="1:55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20" t="str">
        <f>+'Lead Sheet'!S7</f>
        <v>POLISTINA</v>
      </c>
      <c r="J7" s="21" t="str">
        <f>+'Lead Sheet'!T7</f>
        <v>MAZZEO</v>
      </c>
      <c r="K7" s="132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132"/>
      <c r="Q7" s="20" t="str">
        <f>+'Lead Sheet'!AR7</f>
        <v>GIRALO</v>
      </c>
      <c r="R7" s="21" t="str">
        <f>+'Lead Sheet'!AS7</f>
        <v>JIAMPETTI</v>
      </c>
      <c r="S7" s="132"/>
      <c r="T7" s="20" t="str">
        <f>+'Lead Sheet'!AU7</f>
        <v>BALLES</v>
      </c>
      <c r="U7" s="21" t="str">
        <f>+'Lead Sheet'!AV7</f>
        <v>FERNANDEZ</v>
      </c>
      <c r="V7" s="132"/>
      <c r="W7" s="20" t="str">
        <f>+'Lead Sheet'!BA7</f>
        <v>PARKER</v>
      </c>
      <c r="X7" s="21" t="str">
        <f>+'Lead Sheet'!BB7</f>
        <v>WITHERSPOON</v>
      </c>
      <c r="Y7" s="132"/>
      <c r="Z7" s="20" t="str">
        <f>+'Lead Sheet'!BD7</f>
        <v>BERTINO</v>
      </c>
      <c r="AA7" s="21" t="str">
        <f>+'Lead Sheet'!BE7</f>
        <v>BEYERS</v>
      </c>
      <c r="AB7" s="132"/>
      <c r="AC7" s="20" t="s">
        <v>435</v>
      </c>
      <c r="AD7" s="7" t="s">
        <v>437</v>
      </c>
      <c r="AE7" s="7" t="s">
        <v>439</v>
      </c>
      <c r="AF7" s="21" t="s">
        <v>441</v>
      </c>
      <c r="AG7" s="132"/>
      <c r="AH7" s="193" t="s">
        <v>443</v>
      </c>
      <c r="AI7" s="132"/>
      <c r="AJ7" s="20" t="s">
        <v>446</v>
      </c>
      <c r="AK7" s="7" t="s">
        <v>448</v>
      </c>
      <c r="AL7" s="7" t="s">
        <v>307</v>
      </c>
      <c r="AM7" s="21" t="s">
        <v>451</v>
      </c>
      <c r="AN7" s="132"/>
      <c r="AO7" s="193" t="s">
        <v>452</v>
      </c>
      <c r="AP7" s="132"/>
      <c r="AQ7" s="229"/>
      <c r="AR7" s="230"/>
      <c r="AS7" s="9"/>
      <c r="AT7" s="229"/>
      <c r="AU7" s="230"/>
      <c r="AW7" s="229"/>
      <c r="AX7" s="230"/>
      <c r="AZ7" s="160" t="s">
        <v>12</v>
      </c>
      <c r="BA7" s="161" t="s">
        <v>144</v>
      </c>
      <c r="BB7" s="161" t="s">
        <v>13</v>
      </c>
      <c r="BC7" s="162" t="s">
        <v>14</v>
      </c>
    </row>
    <row r="8" spans="1:55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20" t="str">
        <f>+'Lead Sheet'!S8</f>
        <v>Republican</v>
      </c>
      <c r="J8" s="21" t="str">
        <f>+'Lead Sheet'!T8</f>
        <v>Democrat</v>
      </c>
      <c r="K8" s="132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132"/>
      <c r="Q8" s="20" t="str">
        <f>+'Lead Sheet'!AR8</f>
        <v>Republican</v>
      </c>
      <c r="R8" s="21" t="str">
        <f>+'Lead Sheet'!AS8</f>
        <v>Democrat</v>
      </c>
      <c r="S8" s="132"/>
      <c r="T8" s="20" t="str">
        <f>+'Lead Sheet'!AU8</f>
        <v>Republican</v>
      </c>
      <c r="U8" s="21" t="str">
        <f>+'Lead Sheet'!AV8</f>
        <v>Democrat</v>
      </c>
      <c r="V8" s="132"/>
      <c r="W8" s="20" t="str">
        <f>+'Lead Sheet'!BA8</f>
        <v>Republican</v>
      </c>
      <c r="X8" s="21" t="str">
        <f>+'Lead Sheet'!BB8</f>
        <v>Democrat</v>
      </c>
      <c r="Y8" s="132"/>
      <c r="Z8" s="20" t="str">
        <f>+'Lead Sheet'!BD8</f>
        <v>Republican</v>
      </c>
      <c r="AA8" s="21" t="str">
        <f>+'Lead Sheet'!BE8</f>
        <v>Democrat</v>
      </c>
      <c r="AB8" s="132"/>
      <c r="AC8" s="20" t="s">
        <v>16</v>
      </c>
      <c r="AD8" s="7" t="s">
        <v>16</v>
      </c>
      <c r="AE8" s="7" t="s">
        <v>59</v>
      </c>
      <c r="AF8" s="21" t="s">
        <v>59</v>
      </c>
      <c r="AG8" s="132"/>
      <c r="AH8" s="193"/>
      <c r="AI8" s="132"/>
      <c r="AJ8" s="20"/>
      <c r="AK8" s="7"/>
      <c r="AL8" s="7"/>
      <c r="AM8" s="21"/>
      <c r="AN8" s="132"/>
      <c r="AO8" s="193"/>
      <c r="AP8" s="132"/>
      <c r="AQ8" s="229"/>
      <c r="AR8" s="230"/>
      <c r="AS8" s="9"/>
      <c r="AT8" s="229"/>
      <c r="AU8" s="230"/>
      <c r="AW8" s="229"/>
      <c r="AX8" s="230"/>
      <c r="AZ8" s="160" t="s">
        <v>18</v>
      </c>
      <c r="BA8" s="161" t="s">
        <v>145</v>
      </c>
      <c r="BB8" s="161" t="s">
        <v>19</v>
      </c>
      <c r="BC8" s="162" t="s">
        <v>18</v>
      </c>
    </row>
    <row r="9" spans="1:55" x14ac:dyDescent="0.25">
      <c r="C9" s="60"/>
      <c r="D9" s="31"/>
      <c r="E9" s="31"/>
      <c r="F9" s="31"/>
      <c r="G9" s="61" t="str">
        <f>+'Lead Sheet'!G9</f>
        <v>Party</v>
      </c>
      <c r="H9" s="132"/>
      <c r="I9" s="20"/>
      <c r="J9" s="21"/>
      <c r="K9" s="132"/>
      <c r="L9" s="20"/>
      <c r="M9" s="7"/>
      <c r="N9" s="7"/>
      <c r="O9" s="21"/>
      <c r="P9" s="132"/>
      <c r="Q9" s="20"/>
      <c r="R9" s="21"/>
      <c r="S9" s="132"/>
      <c r="T9" s="20"/>
      <c r="U9" s="21"/>
      <c r="V9" s="132"/>
      <c r="W9" s="20"/>
      <c r="X9" s="21"/>
      <c r="Y9" s="132"/>
      <c r="Z9" s="20"/>
      <c r="AA9" s="21"/>
      <c r="AB9" s="132"/>
      <c r="AC9" s="20"/>
      <c r="AD9" s="7"/>
      <c r="AE9" s="7"/>
      <c r="AF9" s="21"/>
      <c r="AG9" s="132"/>
      <c r="AH9" s="193"/>
      <c r="AI9" s="132"/>
      <c r="AJ9" s="20"/>
      <c r="AK9" s="7"/>
      <c r="AL9" s="7"/>
      <c r="AM9" s="21"/>
      <c r="AN9" s="132"/>
      <c r="AO9" s="193"/>
      <c r="AP9" s="132"/>
      <c r="AQ9" s="27"/>
      <c r="AR9" s="28"/>
      <c r="AS9" s="9"/>
      <c r="AT9" s="27"/>
      <c r="AU9" s="28"/>
      <c r="AW9" s="27"/>
      <c r="AX9" s="28"/>
      <c r="AZ9" s="164"/>
      <c r="BA9" s="163"/>
      <c r="BB9" s="163"/>
      <c r="BC9" s="165"/>
    </row>
    <row r="10" spans="1:55" ht="5.0999999999999996" customHeight="1" thickBot="1" x14ac:dyDescent="0.3">
      <c r="C10" s="29"/>
      <c r="D10" s="32"/>
      <c r="E10" s="32"/>
      <c r="F10" s="32"/>
      <c r="G10" s="30"/>
      <c r="H10" s="132"/>
      <c r="I10" s="33"/>
      <c r="J10" s="35"/>
      <c r="K10" s="132"/>
      <c r="L10" s="33"/>
      <c r="M10" s="34"/>
      <c r="N10" s="34"/>
      <c r="O10" s="35"/>
      <c r="P10" s="132"/>
      <c r="Q10" s="33"/>
      <c r="R10" s="35"/>
      <c r="S10" s="132"/>
      <c r="T10" s="33"/>
      <c r="U10" s="35"/>
      <c r="V10" s="132"/>
      <c r="W10" s="136"/>
      <c r="X10" s="137"/>
      <c r="Y10" s="132"/>
      <c r="Z10" s="136"/>
      <c r="AA10" s="137"/>
      <c r="AB10" s="132"/>
      <c r="AC10" s="136"/>
      <c r="AD10" s="152"/>
      <c r="AE10" s="152"/>
      <c r="AF10" s="137"/>
      <c r="AG10" s="132"/>
      <c r="AH10" s="176"/>
      <c r="AI10" s="132"/>
      <c r="AJ10" s="136"/>
      <c r="AK10" s="152"/>
      <c r="AL10" s="152"/>
      <c r="AM10" s="137"/>
      <c r="AN10" s="132"/>
      <c r="AO10" s="176"/>
      <c r="AP10" s="132"/>
      <c r="AQ10" s="36"/>
      <c r="AR10" s="38"/>
      <c r="AS10" s="9"/>
      <c r="AT10" s="36"/>
      <c r="AU10" s="38"/>
      <c r="AW10" s="36"/>
      <c r="AX10" s="38"/>
      <c r="AZ10" s="166"/>
      <c r="BA10" s="167"/>
      <c r="BB10" s="167"/>
      <c r="BC10" s="168"/>
    </row>
    <row r="11" spans="1:55" x14ac:dyDescent="0.25">
      <c r="A11" s="191" t="s">
        <v>419</v>
      </c>
      <c r="C11" s="59">
        <v>269</v>
      </c>
      <c r="D11" s="59">
        <v>192</v>
      </c>
      <c r="E11" s="59">
        <v>1</v>
      </c>
      <c r="F11" s="59">
        <v>0</v>
      </c>
      <c r="G11" s="59">
        <v>0</v>
      </c>
      <c r="I11" s="59">
        <v>256</v>
      </c>
      <c r="J11" s="59">
        <v>201</v>
      </c>
      <c r="L11" s="59">
        <v>241</v>
      </c>
      <c r="M11" s="59">
        <v>255</v>
      </c>
      <c r="N11" s="59">
        <v>201</v>
      </c>
      <c r="O11" s="59">
        <v>186</v>
      </c>
      <c r="Q11" s="59">
        <v>252</v>
      </c>
      <c r="R11" s="59">
        <v>193</v>
      </c>
      <c r="T11" s="59">
        <v>275</v>
      </c>
      <c r="U11" s="59">
        <v>173</v>
      </c>
      <c r="W11" s="59"/>
      <c r="X11" s="59"/>
      <c r="Z11" s="59">
        <v>270</v>
      </c>
      <c r="AA11" s="59">
        <v>168</v>
      </c>
      <c r="AC11" s="59">
        <v>265</v>
      </c>
      <c r="AD11" s="59">
        <v>263</v>
      </c>
      <c r="AE11" s="59">
        <v>183</v>
      </c>
      <c r="AF11" s="59">
        <v>171</v>
      </c>
      <c r="AH11" s="59">
        <v>336</v>
      </c>
      <c r="AJ11" s="59">
        <v>232</v>
      </c>
      <c r="AK11" s="59">
        <v>252</v>
      </c>
      <c r="AL11" s="59">
        <v>222</v>
      </c>
      <c r="AM11" s="59">
        <v>235</v>
      </c>
      <c r="AO11" s="59">
        <v>322</v>
      </c>
      <c r="AQ11" s="59">
        <v>210</v>
      </c>
      <c r="AR11" s="59">
        <v>229</v>
      </c>
      <c r="AT11" s="59">
        <v>272</v>
      </c>
      <c r="AU11" s="59">
        <v>151</v>
      </c>
      <c r="AW11" s="59">
        <v>176</v>
      </c>
      <c r="AX11" s="59">
        <v>244</v>
      </c>
      <c r="AZ11" s="121">
        <v>464</v>
      </c>
      <c r="BA11" s="41">
        <f>353</f>
        <v>353</v>
      </c>
      <c r="BB11" s="41">
        <v>528</v>
      </c>
      <c r="BC11" s="41">
        <f>9+54</f>
        <v>63</v>
      </c>
    </row>
    <row r="12" spans="1:55" x14ac:dyDescent="0.25">
      <c r="A12" s="191" t="s">
        <v>420</v>
      </c>
      <c r="C12" s="40">
        <v>427</v>
      </c>
      <c r="D12" s="40">
        <v>145</v>
      </c>
      <c r="E12" s="40">
        <v>1</v>
      </c>
      <c r="F12" s="40">
        <v>2</v>
      </c>
      <c r="G12" s="40">
        <v>1</v>
      </c>
      <c r="I12" s="40">
        <v>407</v>
      </c>
      <c r="J12" s="40">
        <v>160</v>
      </c>
      <c r="L12" s="40">
        <v>397</v>
      </c>
      <c r="M12" s="40">
        <v>402</v>
      </c>
      <c r="N12" s="40">
        <v>158</v>
      </c>
      <c r="O12" s="40">
        <v>143</v>
      </c>
      <c r="Q12" s="40">
        <v>407</v>
      </c>
      <c r="R12" s="40">
        <v>151</v>
      </c>
      <c r="T12" s="40">
        <v>445</v>
      </c>
      <c r="U12" s="40">
        <v>114</v>
      </c>
      <c r="W12" s="40"/>
      <c r="X12" s="40"/>
      <c r="Z12" s="40">
        <v>424</v>
      </c>
      <c r="AA12" s="40">
        <v>128</v>
      </c>
      <c r="AC12" s="40">
        <v>437</v>
      </c>
      <c r="AD12" s="40">
        <v>413</v>
      </c>
      <c r="AE12" s="40">
        <v>127</v>
      </c>
      <c r="AF12" s="40">
        <v>109</v>
      </c>
      <c r="AH12" s="40">
        <v>358</v>
      </c>
      <c r="AJ12" s="40">
        <v>251</v>
      </c>
      <c r="AK12" s="40">
        <v>286</v>
      </c>
      <c r="AL12" s="40">
        <v>266</v>
      </c>
      <c r="AM12" s="40">
        <v>214</v>
      </c>
      <c r="AO12" s="40">
        <v>347</v>
      </c>
      <c r="AQ12" s="40">
        <v>242</v>
      </c>
      <c r="AR12" s="40">
        <v>308</v>
      </c>
      <c r="AT12" s="40">
        <v>328</v>
      </c>
      <c r="AU12" s="40">
        <v>214</v>
      </c>
      <c r="AW12" s="40">
        <v>190</v>
      </c>
      <c r="AX12" s="40">
        <v>336</v>
      </c>
      <c r="AZ12" s="121">
        <v>583</v>
      </c>
      <c r="BA12" s="41"/>
      <c r="BB12" s="41"/>
      <c r="BC12" s="41"/>
    </row>
    <row r="13" spans="1:55" x14ac:dyDescent="0.25">
      <c r="A13" s="191" t="s">
        <v>421</v>
      </c>
      <c r="C13" s="40">
        <v>218</v>
      </c>
      <c r="D13" s="40">
        <v>123</v>
      </c>
      <c r="E13" s="40">
        <v>1</v>
      </c>
      <c r="F13" s="40">
        <v>0</v>
      </c>
      <c r="G13" s="40">
        <v>0</v>
      </c>
      <c r="I13" s="40">
        <v>208</v>
      </c>
      <c r="J13" s="40">
        <v>125</v>
      </c>
      <c r="L13" s="40">
        <v>207</v>
      </c>
      <c r="M13" s="40">
        <v>198</v>
      </c>
      <c r="N13" s="40">
        <v>131</v>
      </c>
      <c r="O13" s="40">
        <v>123</v>
      </c>
      <c r="Q13" s="40">
        <v>206</v>
      </c>
      <c r="R13" s="40">
        <v>122</v>
      </c>
      <c r="T13" s="40">
        <v>217</v>
      </c>
      <c r="U13" s="40">
        <v>115</v>
      </c>
      <c r="W13" s="40"/>
      <c r="X13" s="40"/>
      <c r="Z13" s="40">
        <v>206</v>
      </c>
      <c r="AA13" s="40">
        <v>120</v>
      </c>
      <c r="AC13" s="40">
        <v>212</v>
      </c>
      <c r="AD13" s="40">
        <v>202</v>
      </c>
      <c r="AE13" s="40">
        <v>121</v>
      </c>
      <c r="AF13" s="40">
        <v>119</v>
      </c>
      <c r="AH13" s="40">
        <v>237</v>
      </c>
      <c r="AJ13" s="40">
        <v>154</v>
      </c>
      <c r="AK13" s="40">
        <v>190</v>
      </c>
      <c r="AL13" s="40">
        <v>165</v>
      </c>
      <c r="AM13" s="40">
        <v>150</v>
      </c>
      <c r="AO13" s="40">
        <v>231</v>
      </c>
      <c r="AQ13" s="40">
        <v>130</v>
      </c>
      <c r="AR13" s="40">
        <v>191</v>
      </c>
      <c r="AT13" s="40">
        <v>171</v>
      </c>
      <c r="AU13" s="40">
        <v>149</v>
      </c>
      <c r="AW13" s="40">
        <v>117</v>
      </c>
      <c r="AX13" s="40">
        <v>199</v>
      </c>
      <c r="AZ13" s="121">
        <v>345</v>
      </c>
      <c r="BA13" s="41"/>
      <c r="BB13" s="41"/>
      <c r="BC13" s="41"/>
    </row>
    <row r="14" spans="1:55" x14ac:dyDescent="0.25">
      <c r="A14" s="191" t="s">
        <v>422</v>
      </c>
      <c r="C14" s="40">
        <v>91</v>
      </c>
      <c r="D14" s="40">
        <v>173</v>
      </c>
      <c r="E14" s="40">
        <v>0</v>
      </c>
      <c r="F14" s="40">
        <v>0</v>
      </c>
      <c r="G14" s="40">
        <v>0</v>
      </c>
      <c r="I14" s="40">
        <v>81</v>
      </c>
      <c r="J14" s="40">
        <v>178</v>
      </c>
      <c r="L14" s="40">
        <v>78</v>
      </c>
      <c r="M14" s="40">
        <v>77</v>
      </c>
      <c r="N14" s="40">
        <v>174</v>
      </c>
      <c r="O14" s="40">
        <v>170</v>
      </c>
      <c r="Q14" s="40">
        <v>80</v>
      </c>
      <c r="R14" s="40">
        <v>175</v>
      </c>
      <c r="T14" s="40">
        <v>85</v>
      </c>
      <c r="U14" s="40">
        <v>172</v>
      </c>
      <c r="W14" s="40">
        <v>84</v>
      </c>
      <c r="X14" s="40">
        <v>172</v>
      </c>
      <c r="Z14" s="40"/>
      <c r="AA14" s="40"/>
      <c r="AC14" s="40">
        <v>82</v>
      </c>
      <c r="AD14" s="40">
        <v>79</v>
      </c>
      <c r="AE14" s="40">
        <v>170</v>
      </c>
      <c r="AF14" s="40">
        <v>168</v>
      </c>
      <c r="AH14" s="40">
        <v>163</v>
      </c>
      <c r="AJ14" s="40">
        <v>127</v>
      </c>
      <c r="AK14" s="40">
        <v>123</v>
      </c>
      <c r="AL14" s="40">
        <v>86</v>
      </c>
      <c r="AM14" s="40">
        <v>108</v>
      </c>
      <c r="AO14" s="40">
        <v>142</v>
      </c>
      <c r="AQ14" s="40">
        <v>111</v>
      </c>
      <c r="AR14" s="40">
        <v>98</v>
      </c>
      <c r="AT14" s="40">
        <v>136</v>
      </c>
      <c r="AU14" s="40">
        <v>71</v>
      </c>
      <c r="AW14" s="40">
        <v>111</v>
      </c>
      <c r="AX14" s="40">
        <v>88</v>
      </c>
      <c r="AZ14" s="121">
        <v>267</v>
      </c>
      <c r="BA14" s="41">
        <v>467</v>
      </c>
      <c r="BB14" s="41">
        <v>895</v>
      </c>
      <c r="BC14" s="41">
        <f>12+95</f>
        <v>107</v>
      </c>
    </row>
    <row r="15" spans="1:55" x14ac:dyDescent="0.25">
      <c r="A15" s="191" t="s">
        <v>423</v>
      </c>
      <c r="C15" s="40">
        <v>241</v>
      </c>
      <c r="D15" s="40">
        <v>115</v>
      </c>
      <c r="E15" s="40">
        <v>0</v>
      </c>
      <c r="F15" s="40">
        <v>1</v>
      </c>
      <c r="G15" s="40">
        <v>0</v>
      </c>
      <c r="I15" s="40">
        <v>225</v>
      </c>
      <c r="J15" s="40">
        <v>128</v>
      </c>
      <c r="L15" s="40">
        <v>219</v>
      </c>
      <c r="M15" s="40">
        <v>221</v>
      </c>
      <c r="N15" s="40">
        <v>127</v>
      </c>
      <c r="O15" s="40">
        <v>129</v>
      </c>
      <c r="Q15" s="40">
        <v>226</v>
      </c>
      <c r="R15" s="40">
        <v>127</v>
      </c>
      <c r="T15" s="40">
        <v>241</v>
      </c>
      <c r="U15" s="40">
        <v>109</v>
      </c>
      <c r="W15" s="40"/>
      <c r="X15" s="40"/>
      <c r="Z15" s="40">
        <v>234</v>
      </c>
      <c r="AA15" s="40">
        <v>112</v>
      </c>
      <c r="AC15" s="40">
        <v>233</v>
      </c>
      <c r="AD15" s="40">
        <v>229</v>
      </c>
      <c r="AE15" s="40">
        <v>116</v>
      </c>
      <c r="AF15" s="40">
        <v>114</v>
      </c>
      <c r="AH15" s="40">
        <v>224</v>
      </c>
      <c r="AJ15" s="40">
        <v>148</v>
      </c>
      <c r="AK15" s="40">
        <v>179</v>
      </c>
      <c r="AL15" s="40">
        <v>175</v>
      </c>
      <c r="AM15" s="40">
        <v>143</v>
      </c>
      <c r="AO15" s="40">
        <v>217</v>
      </c>
      <c r="AQ15" s="40">
        <v>145</v>
      </c>
      <c r="AR15" s="40">
        <v>174</v>
      </c>
      <c r="AT15" s="40">
        <v>185</v>
      </c>
      <c r="AU15" s="40">
        <v>127</v>
      </c>
      <c r="AW15" s="40">
        <v>122</v>
      </c>
      <c r="AX15" s="40">
        <v>182</v>
      </c>
      <c r="AZ15" s="121">
        <v>358</v>
      </c>
      <c r="BA15" s="41"/>
      <c r="BB15" s="41"/>
      <c r="BC15" s="41"/>
    </row>
    <row r="16" spans="1:55" x14ac:dyDescent="0.25">
      <c r="A16" s="191" t="s">
        <v>424</v>
      </c>
      <c r="C16" s="40">
        <v>354</v>
      </c>
      <c r="D16" s="40">
        <v>125</v>
      </c>
      <c r="E16" s="40">
        <v>1</v>
      </c>
      <c r="F16" s="40">
        <v>3</v>
      </c>
      <c r="G16" s="40">
        <v>0</v>
      </c>
      <c r="I16" s="40">
        <v>333</v>
      </c>
      <c r="J16" s="40">
        <v>140</v>
      </c>
      <c r="L16" s="40">
        <v>325</v>
      </c>
      <c r="M16" s="40">
        <v>329</v>
      </c>
      <c r="N16" s="40">
        <v>140</v>
      </c>
      <c r="O16" s="40">
        <v>133</v>
      </c>
      <c r="Q16" s="40">
        <v>338</v>
      </c>
      <c r="R16" s="40">
        <v>136</v>
      </c>
      <c r="T16" s="40">
        <v>353</v>
      </c>
      <c r="U16" s="40">
        <v>118</v>
      </c>
      <c r="W16" s="40"/>
      <c r="X16" s="40"/>
      <c r="Z16" s="40">
        <v>344</v>
      </c>
      <c r="AA16" s="40">
        <v>127</v>
      </c>
      <c r="AC16" s="40">
        <v>354</v>
      </c>
      <c r="AD16" s="40">
        <v>340</v>
      </c>
      <c r="AE16" s="40">
        <v>119</v>
      </c>
      <c r="AF16" s="40">
        <v>122</v>
      </c>
      <c r="AH16" s="40">
        <v>313</v>
      </c>
      <c r="AJ16" s="40">
        <v>210</v>
      </c>
      <c r="AK16" s="40">
        <v>246</v>
      </c>
      <c r="AL16" s="40">
        <v>245</v>
      </c>
      <c r="AM16" s="40">
        <v>164</v>
      </c>
      <c r="AO16" s="40">
        <v>303</v>
      </c>
      <c r="AQ16" s="40">
        <v>198</v>
      </c>
      <c r="AR16" s="40">
        <v>242</v>
      </c>
      <c r="AT16" s="40">
        <v>254</v>
      </c>
      <c r="AU16" s="40">
        <v>182</v>
      </c>
      <c r="AW16" s="40">
        <v>140</v>
      </c>
      <c r="AX16" s="40">
        <v>280</v>
      </c>
      <c r="AZ16" s="121">
        <v>485</v>
      </c>
      <c r="BA16" s="41"/>
      <c r="BB16" s="41"/>
      <c r="BC16" s="41"/>
    </row>
    <row r="17" spans="1:55" x14ac:dyDescent="0.25">
      <c r="A17" s="191" t="s">
        <v>425</v>
      </c>
      <c r="C17" s="40">
        <v>334</v>
      </c>
      <c r="D17" s="40">
        <v>202</v>
      </c>
      <c r="E17" s="40">
        <v>1</v>
      </c>
      <c r="F17" s="40">
        <v>3</v>
      </c>
      <c r="G17" s="40">
        <v>0</v>
      </c>
      <c r="I17" s="40">
        <v>302</v>
      </c>
      <c r="J17" s="40">
        <v>227</v>
      </c>
      <c r="L17" s="40">
        <v>313</v>
      </c>
      <c r="M17" s="40">
        <v>318</v>
      </c>
      <c r="N17" s="40">
        <v>208</v>
      </c>
      <c r="O17" s="40">
        <v>202</v>
      </c>
      <c r="Q17" s="40">
        <v>312</v>
      </c>
      <c r="R17" s="40">
        <v>211</v>
      </c>
      <c r="T17" s="40">
        <v>333</v>
      </c>
      <c r="U17" s="40">
        <v>187</v>
      </c>
      <c r="W17" s="40">
        <v>322</v>
      </c>
      <c r="X17" s="40">
        <v>197</v>
      </c>
      <c r="Z17" s="40"/>
      <c r="AA17" s="40"/>
      <c r="AC17" s="40">
        <v>317</v>
      </c>
      <c r="AD17" s="40">
        <v>316</v>
      </c>
      <c r="AE17" s="40">
        <v>206</v>
      </c>
      <c r="AF17" s="40">
        <v>195</v>
      </c>
      <c r="AH17" s="40">
        <v>331</v>
      </c>
      <c r="AJ17" s="40">
        <v>236</v>
      </c>
      <c r="AK17" s="40">
        <v>275</v>
      </c>
      <c r="AL17" s="40">
        <v>224</v>
      </c>
      <c r="AM17" s="40">
        <v>203</v>
      </c>
      <c r="AO17" s="40">
        <v>311</v>
      </c>
      <c r="AQ17" s="40">
        <v>247</v>
      </c>
      <c r="AR17" s="40">
        <v>237</v>
      </c>
      <c r="AT17" s="40">
        <v>313</v>
      </c>
      <c r="AU17" s="40">
        <v>162</v>
      </c>
      <c r="AW17" s="40">
        <v>202</v>
      </c>
      <c r="AX17" s="40">
        <v>257</v>
      </c>
      <c r="AZ17" s="121">
        <v>542</v>
      </c>
      <c r="BA17" s="41"/>
      <c r="BB17" s="41"/>
      <c r="BC17" s="41"/>
    </row>
    <row r="18" spans="1:55" x14ac:dyDescent="0.25">
      <c r="A18" s="191" t="s">
        <v>426</v>
      </c>
      <c r="C18" s="40">
        <v>324</v>
      </c>
      <c r="D18" s="40">
        <v>141</v>
      </c>
      <c r="E18" s="40">
        <v>1</v>
      </c>
      <c r="F18" s="40">
        <v>1</v>
      </c>
      <c r="G18" s="40">
        <v>2</v>
      </c>
      <c r="I18" s="40">
        <v>300</v>
      </c>
      <c r="J18" s="40">
        <v>159</v>
      </c>
      <c r="L18" s="40">
        <v>279</v>
      </c>
      <c r="M18" s="40">
        <v>296</v>
      </c>
      <c r="N18" s="40">
        <v>169</v>
      </c>
      <c r="O18" s="40">
        <v>146</v>
      </c>
      <c r="Q18" s="40">
        <v>313</v>
      </c>
      <c r="R18" s="40">
        <v>146</v>
      </c>
      <c r="T18" s="40">
        <v>334</v>
      </c>
      <c r="U18" s="40">
        <v>123</v>
      </c>
      <c r="W18" s="40">
        <v>320</v>
      </c>
      <c r="X18" s="40">
        <v>133</v>
      </c>
      <c r="Z18" s="40"/>
      <c r="AA18" s="40"/>
      <c r="AC18" s="40">
        <v>320</v>
      </c>
      <c r="AD18" s="40">
        <v>291</v>
      </c>
      <c r="AE18" s="40">
        <v>142</v>
      </c>
      <c r="AF18" s="40">
        <v>139</v>
      </c>
      <c r="AH18" s="40">
        <v>265</v>
      </c>
      <c r="AJ18" s="40">
        <v>221</v>
      </c>
      <c r="AK18" s="40">
        <v>218</v>
      </c>
      <c r="AL18" s="40">
        <v>176</v>
      </c>
      <c r="AM18" s="40">
        <v>167</v>
      </c>
      <c r="AO18" s="40">
        <v>258</v>
      </c>
      <c r="AQ18" s="40">
        <v>186</v>
      </c>
      <c r="AR18" s="40">
        <v>243</v>
      </c>
      <c r="AT18" s="40">
        <v>244</v>
      </c>
      <c r="AU18" s="40">
        <v>180</v>
      </c>
      <c r="AW18" s="40">
        <v>175</v>
      </c>
      <c r="AX18" s="40">
        <v>242</v>
      </c>
      <c r="AZ18" s="121">
        <v>471</v>
      </c>
      <c r="BA18" s="41"/>
      <c r="BB18" s="41"/>
      <c r="BC18" s="41"/>
    </row>
    <row r="19" spans="1:55" x14ac:dyDescent="0.25">
      <c r="A19" s="191" t="s">
        <v>427</v>
      </c>
      <c r="C19" s="40">
        <v>351</v>
      </c>
      <c r="D19" s="40">
        <v>220</v>
      </c>
      <c r="E19" s="40">
        <v>0</v>
      </c>
      <c r="F19" s="40">
        <v>3</v>
      </c>
      <c r="G19" s="40">
        <v>1</v>
      </c>
      <c r="I19" s="40">
        <v>342</v>
      </c>
      <c r="J19" s="40">
        <v>219</v>
      </c>
      <c r="L19" s="40">
        <v>330</v>
      </c>
      <c r="M19" s="40">
        <v>331</v>
      </c>
      <c r="N19" s="40">
        <v>224</v>
      </c>
      <c r="O19" s="40">
        <v>216</v>
      </c>
      <c r="Q19" s="40">
        <v>332</v>
      </c>
      <c r="R19" s="40">
        <v>225</v>
      </c>
      <c r="T19" s="40">
        <v>371</v>
      </c>
      <c r="U19" s="40">
        <v>190</v>
      </c>
      <c r="W19" s="40">
        <v>352</v>
      </c>
      <c r="X19" s="40">
        <v>200</v>
      </c>
      <c r="Z19" s="40"/>
      <c r="AA19" s="40"/>
      <c r="AC19" s="40">
        <v>342</v>
      </c>
      <c r="AD19" s="40">
        <v>338</v>
      </c>
      <c r="AE19" s="40">
        <v>204</v>
      </c>
      <c r="AF19" s="40">
        <v>200</v>
      </c>
      <c r="AH19" s="40">
        <v>357</v>
      </c>
      <c r="AJ19" s="40">
        <v>262</v>
      </c>
      <c r="AK19" s="40">
        <v>254</v>
      </c>
      <c r="AL19" s="40">
        <v>259</v>
      </c>
      <c r="AM19" s="40">
        <v>200</v>
      </c>
      <c r="AO19" s="40">
        <v>337</v>
      </c>
      <c r="AQ19" s="40">
        <v>260</v>
      </c>
      <c r="AR19" s="40">
        <v>251</v>
      </c>
      <c r="AT19" s="40">
        <v>308</v>
      </c>
      <c r="AU19" s="40">
        <v>184</v>
      </c>
      <c r="AW19" s="40">
        <v>213</v>
      </c>
      <c r="AX19" s="40">
        <v>266</v>
      </c>
      <c r="AZ19" s="121">
        <v>577</v>
      </c>
      <c r="BA19" s="41"/>
      <c r="BB19" s="41"/>
      <c r="BC19" s="41"/>
    </row>
    <row r="20" spans="1:55" x14ac:dyDescent="0.25">
      <c r="A20" s="191" t="s">
        <v>428</v>
      </c>
      <c r="C20" s="40">
        <v>338</v>
      </c>
      <c r="D20" s="40">
        <v>189</v>
      </c>
      <c r="E20" s="40">
        <v>0</v>
      </c>
      <c r="F20" s="40">
        <v>2</v>
      </c>
      <c r="G20" s="40">
        <v>0</v>
      </c>
      <c r="I20" s="40">
        <v>336</v>
      </c>
      <c r="J20" s="40">
        <v>185</v>
      </c>
      <c r="L20" s="40">
        <v>309</v>
      </c>
      <c r="M20" s="40">
        <v>320</v>
      </c>
      <c r="N20" s="40">
        <v>199</v>
      </c>
      <c r="O20" s="40">
        <v>181</v>
      </c>
      <c r="Q20" s="40">
        <v>335</v>
      </c>
      <c r="R20" s="40">
        <v>172</v>
      </c>
      <c r="T20" s="40">
        <v>350</v>
      </c>
      <c r="U20" s="40">
        <v>156</v>
      </c>
      <c r="W20" s="40">
        <v>343</v>
      </c>
      <c r="X20" s="40">
        <v>162</v>
      </c>
      <c r="Z20" s="40"/>
      <c r="AA20" s="40"/>
      <c r="AC20" s="40">
        <v>337</v>
      </c>
      <c r="AD20" s="40">
        <v>324</v>
      </c>
      <c r="AE20" s="40">
        <v>150</v>
      </c>
      <c r="AF20" s="40">
        <v>159</v>
      </c>
      <c r="AH20" s="40">
        <v>261</v>
      </c>
      <c r="AJ20" s="40">
        <v>185</v>
      </c>
      <c r="AK20" s="40">
        <v>213</v>
      </c>
      <c r="AL20" s="40">
        <v>171</v>
      </c>
      <c r="AM20" s="40">
        <v>142</v>
      </c>
      <c r="AO20" s="40">
        <v>244</v>
      </c>
      <c r="AQ20" s="40">
        <v>203</v>
      </c>
      <c r="AR20" s="40">
        <v>238</v>
      </c>
      <c r="AT20" s="40">
        <v>249</v>
      </c>
      <c r="AU20" s="40">
        <v>169</v>
      </c>
      <c r="AW20" s="40">
        <v>186</v>
      </c>
      <c r="AX20" s="40">
        <v>203</v>
      </c>
      <c r="AZ20" s="121">
        <v>544</v>
      </c>
      <c r="BA20" s="41"/>
      <c r="BB20" s="41"/>
      <c r="BC20" s="41"/>
    </row>
    <row r="21" spans="1:55" x14ac:dyDescent="0.25">
      <c r="A21" s="191" t="s">
        <v>429</v>
      </c>
      <c r="C21" s="40">
        <v>149</v>
      </c>
      <c r="D21" s="40">
        <v>165</v>
      </c>
      <c r="E21" s="40">
        <v>3</v>
      </c>
      <c r="F21" s="40">
        <v>0</v>
      </c>
      <c r="G21" s="40">
        <v>0</v>
      </c>
      <c r="I21" s="40">
        <v>145</v>
      </c>
      <c r="J21" s="40">
        <v>169</v>
      </c>
      <c r="L21" s="40">
        <v>140</v>
      </c>
      <c r="M21" s="40">
        <v>146</v>
      </c>
      <c r="N21" s="40">
        <v>166</v>
      </c>
      <c r="O21" s="40">
        <v>164</v>
      </c>
      <c r="Q21" s="40">
        <v>145</v>
      </c>
      <c r="R21" s="40">
        <v>163</v>
      </c>
      <c r="T21" s="40">
        <v>139</v>
      </c>
      <c r="U21" s="40">
        <v>164</v>
      </c>
      <c r="W21" s="40">
        <v>139</v>
      </c>
      <c r="X21" s="40">
        <v>172</v>
      </c>
      <c r="Z21" s="40"/>
      <c r="AA21" s="40"/>
      <c r="AC21" s="40">
        <v>144</v>
      </c>
      <c r="AD21" s="40">
        <v>140</v>
      </c>
      <c r="AE21" s="40">
        <v>159</v>
      </c>
      <c r="AF21" s="40">
        <v>160</v>
      </c>
      <c r="AH21" s="40">
        <v>177</v>
      </c>
      <c r="AJ21" s="40">
        <v>143</v>
      </c>
      <c r="AK21" s="40">
        <v>141</v>
      </c>
      <c r="AL21" s="40">
        <v>97</v>
      </c>
      <c r="AM21" s="40">
        <v>135</v>
      </c>
      <c r="AO21" s="40">
        <v>172</v>
      </c>
      <c r="AQ21" s="40">
        <v>141</v>
      </c>
      <c r="AR21" s="40">
        <v>118</v>
      </c>
      <c r="AT21" s="40">
        <v>168</v>
      </c>
      <c r="AU21" s="40">
        <v>75</v>
      </c>
      <c r="AW21" s="40">
        <v>120</v>
      </c>
      <c r="AX21" s="40">
        <v>115</v>
      </c>
      <c r="AZ21" s="121">
        <v>319</v>
      </c>
      <c r="BA21" s="41"/>
      <c r="BB21" s="41"/>
      <c r="BC21" s="41"/>
    </row>
    <row r="22" spans="1:55" x14ac:dyDescent="0.25">
      <c r="A22" s="191" t="s">
        <v>430</v>
      </c>
      <c r="C22" s="40">
        <v>254</v>
      </c>
      <c r="D22" s="40">
        <v>113</v>
      </c>
      <c r="E22" s="40">
        <v>2</v>
      </c>
      <c r="F22" s="40">
        <v>0</v>
      </c>
      <c r="G22" s="40">
        <v>1</v>
      </c>
      <c r="I22" s="40">
        <v>242</v>
      </c>
      <c r="J22" s="40">
        <v>118</v>
      </c>
      <c r="L22" s="40">
        <v>233</v>
      </c>
      <c r="M22" s="40">
        <v>235</v>
      </c>
      <c r="N22" s="40">
        <v>119</v>
      </c>
      <c r="O22" s="40">
        <v>106</v>
      </c>
      <c r="Q22" s="40">
        <v>240</v>
      </c>
      <c r="R22" s="40">
        <v>111</v>
      </c>
      <c r="T22" s="40">
        <v>260</v>
      </c>
      <c r="U22" s="40">
        <v>94</v>
      </c>
      <c r="W22" s="40"/>
      <c r="X22" s="40"/>
      <c r="Z22" s="40">
        <v>251</v>
      </c>
      <c r="AA22" s="40">
        <v>99</v>
      </c>
      <c r="AC22" s="40">
        <v>257</v>
      </c>
      <c r="AD22" s="40">
        <v>254</v>
      </c>
      <c r="AE22" s="40">
        <v>95</v>
      </c>
      <c r="AF22" s="40">
        <v>95</v>
      </c>
      <c r="AH22" s="40">
        <v>213</v>
      </c>
      <c r="AJ22" s="40">
        <v>152</v>
      </c>
      <c r="AK22" s="40">
        <v>178</v>
      </c>
      <c r="AL22" s="40">
        <v>161</v>
      </c>
      <c r="AM22" s="40">
        <v>127</v>
      </c>
      <c r="AO22" s="40">
        <v>201</v>
      </c>
      <c r="AQ22" s="40">
        <v>160</v>
      </c>
      <c r="AR22" s="40">
        <v>190</v>
      </c>
      <c r="AT22" s="40">
        <v>215</v>
      </c>
      <c r="AU22" s="40">
        <v>135</v>
      </c>
      <c r="AW22" s="40">
        <v>151</v>
      </c>
      <c r="AX22" s="40">
        <v>195</v>
      </c>
      <c r="AZ22" s="121">
        <v>371</v>
      </c>
      <c r="BA22" s="41"/>
      <c r="BB22" s="41"/>
      <c r="BC22" s="41"/>
    </row>
    <row r="23" spans="1:55" x14ac:dyDescent="0.25">
      <c r="A23" s="191" t="s">
        <v>431</v>
      </c>
      <c r="C23" s="40">
        <v>281</v>
      </c>
      <c r="D23" s="40">
        <v>225</v>
      </c>
      <c r="E23" s="40">
        <v>0</v>
      </c>
      <c r="F23" s="40">
        <v>4</v>
      </c>
      <c r="G23" s="40">
        <v>2</v>
      </c>
      <c r="I23" s="40">
        <v>277</v>
      </c>
      <c r="J23" s="40">
        <v>224</v>
      </c>
      <c r="L23" s="40">
        <v>270</v>
      </c>
      <c r="M23" s="40">
        <v>264</v>
      </c>
      <c r="N23" s="40">
        <v>219</v>
      </c>
      <c r="O23" s="40">
        <v>212</v>
      </c>
      <c r="Q23" s="40">
        <v>266</v>
      </c>
      <c r="R23" s="40">
        <v>224</v>
      </c>
      <c r="T23" s="40">
        <v>285</v>
      </c>
      <c r="U23" s="40">
        <v>207</v>
      </c>
      <c r="W23" s="40">
        <v>275</v>
      </c>
      <c r="X23" s="40">
        <v>223</v>
      </c>
      <c r="Z23" s="40"/>
      <c r="AA23" s="40"/>
      <c r="AC23" s="40">
        <v>275</v>
      </c>
      <c r="AD23" s="40">
        <v>257</v>
      </c>
      <c r="AE23" s="40">
        <v>210</v>
      </c>
      <c r="AF23" s="40">
        <v>215</v>
      </c>
      <c r="AH23" s="40">
        <v>337</v>
      </c>
      <c r="AJ23" s="40">
        <v>249</v>
      </c>
      <c r="AK23" s="40">
        <v>238</v>
      </c>
      <c r="AL23" s="40">
        <v>223</v>
      </c>
      <c r="AM23" s="40">
        <v>167</v>
      </c>
      <c r="AO23" s="40">
        <v>322</v>
      </c>
      <c r="AQ23" s="40">
        <v>236</v>
      </c>
      <c r="AR23" s="40">
        <v>193</v>
      </c>
      <c r="AT23" s="40">
        <v>275</v>
      </c>
      <c r="AU23" s="40">
        <v>137</v>
      </c>
      <c r="AW23" s="40">
        <v>185</v>
      </c>
      <c r="AX23" s="40">
        <v>217</v>
      </c>
      <c r="AZ23" s="121">
        <v>516</v>
      </c>
      <c r="BA23" s="41"/>
      <c r="BB23" s="41"/>
      <c r="BC23" s="41"/>
    </row>
    <row r="24" spans="1:55" ht="15.75" thickBot="1" x14ac:dyDescent="0.3"/>
    <row r="25" spans="1:55" ht="15.75" thickBot="1" x14ac:dyDescent="0.3">
      <c r="A25" s="50" t="s">
        <v>8</v>
      </c>
      <c r="B25" s="192"/>
      <c r="C25" s="51">
        <f t="shared" ref="C25" si="0">+SUM(C11:C23)</f>
        <v>3631</v>
      </c>
      <c r="D25" s="51">
        <f t="shared" ref="D25:R25" si="1">+SUM(D11:D23)</f>
        <v>2128</v>
      </c>
      <c r="E25" s="51">
        <f t="shared" si="1"/>
        <v>11</v>
      </c>
      <c r="F25" s="51">
        <f t="shared" si="1"/>
        <v>19</v>
      </c>
      <c r="G25" s="51">
        <f t="shared" si="1"/>
        <v>7</v>
      </c>
      <c r="I25" s="51">
        <f t="shared" si="1"/>
        <v>3454</v>
      </c>
      <c r="J25" s="51">
        <f t="shared" si="1"/>
        <v>2233</v>
      </c>
      <c r="L25" s="51">
        <f t="shared" si="1"/>
        <v>3341</v>
      </c>
      <c r="M25" s="51">
        <f t="shared" si="1"/>
        <v>3392</v>
      </c>
      <c r="N25" s="51">
        <f t="shared" si="1"/>
        <v>2235</v>
      </c>
      <c r="O25" s="51">
        <f t="shared" si="1"/>
        <v>2111</v>
      </c>
      <c r="Q25" s="51">
        <f t="shared" si="1"/>
        <v>3452</v>
      </c>
      <c r="R25" s="51">
        <f t="shared" si="1"/>
        <v>2156</v>
      </c>
      <c r="T25" s="51">
        <f t="shared" ref="T25:AO25" si="2">+SUM(T11:T23)</f>
        <v>3688</v>
      </c>
      <c r="U25" s="51">
        <f t="shared" si="2"/>
        <v>1922</v>
      </c>
      <c r="W25" s="51">
        <f t="shared" si="2"/>
        <v>1835</v>
      </c>
      <c r="X25" s="51">
        <f t="shared" si="2"/>
        <v>1259</v>
      </c>
      <c r="Z25" s="51">
        <f t="shared" si="2"/>
        <v>1729</v>
      </c>
      <c r="AA25" s="51">
        <f t="shared" si="2"/>
        <v>754</v>
      </c>
      <c r="AC25" s="51">
        <f t="shared" ref="AC25:AF25" si="3">+SUM(AC11:AC23)</f>
        <v>3575</v>
      </c>
      <c r="AD25" s="51">
        <f t="shared" si="3"/>
        <v>3446</v>
      </c>
      <c r="AE25" s="51">
        <f t="shared" si="3"/>
        <v>2002</v>
      </c>
      <c r="AF25" s="51">
        <f t="shared" si="3"/>
        <v>1966</v>
      </c>
      <c r="AH25" s="51">
        <f t="shared" si="2"/>
        <v>3572</v>
      </c>
      <c r="AJ25" s="51">
        <f t="shared" ref="AJ25:AL25" si="4">+SUM(AJ11:AJ23)</f>
        <v>2570</v>
      </c>
      <c r="AK25" s="51">
        <f t="shared" ref="AK25" si="5">+SUM(AK11:AK23)</f>
        <v>2793</v>
      </c>
      <c r="AL25" s="51">
        <f t="shared" si="4"/>
        <v>2470</v>
      </c>
      <c r="AM25" s="51">
        <f t="shared" si="2"/>
        <v>2155</v>
      </c>
      <c r="AO25" s="51">
        <f t="shared" si="2"/>
        <v>3407</v>
      </c>
      <c r="AQ25" s="51">
        <f t="shared" ref="AQ25:AR25" si="6">+SUM(AQ11:AQ23)</f>
        <v>2469</v>
      </c>
      <c r="AR25" s="51">
        <f t="shared" si="6"/>
        <v>2712</v>
      </c>
      <c r="AT25" s="51">
        <f t="shared" ref="AT25:AU25" si="7">+SUM(AT11:AT23)</f>
        <v>3118</v>
      </c>
      <c r="AU25" s="51">
        <f t="shared" si="7"/>
        <v>1936</v>
      </c>
      <c r="AW25" s="51">
        <f t="shared" ref="AW25:AX25" si="8">+SUM(AW11:AW23)</f>
        <v>2088</v>
      </c>
      <c r="AX25" s="51">
        <f t="shared" si="8"/>
        <v>2824</v>
      </c>
      <c r="AZ25" s="51">
        <f t="shared" ref="AZ25:BC25" si="9">+SUM(AZ11:AZ23)</f>
        <v>5842</v>
      </c>
      <c r="BA25" s="51">
        <f t="shared" si="9"/>
        <v>820</v>
      </c>
      <c r="BB25" s="51">
        <f t="shared" si="9"/>
        <v>1423</v>
      </c>
      <c r="BC25" s="51">
        <f t="shared" si="9"/>
        <v>170</v>
      </c>
    </row>
    <row r="26" spans="1:55" x14ac:dyDescent="0.25">
      <c r="A26" s="92" t="s">
        <v>146</v>
      </c>
      <c r="B26" s="192"/>
      <c r="C26" s="53">
        <f>196+188</f>
        <v>384</v>
      </c>
      <c r="D26" s="53">
        <f>263+160</f>
        <v>423</v>
      </c>
      <c r="E26" s="53">
        <f>1+3</f>
        <v>4</v>
      </c>
      <c r="F26" s="53">
        <f>2+1</f>
        <v>3</v>
      </c>
      <c r="G26" s="53">
        <v>1</v>
      </c>
      <c r="H26" s="138"/>
      <c r="I26" s="53">
        <f>195+187</f>
        <v>382</v>
      </c>
      <c r="J26" s="53">
        <f>261+160</f>
        <v>421</v>
      </c>
      <c r="K26" s="138"/>
      <c r="L26" s="53">
        <f>182+184</f>
        <v>366</v>
      </c>
      <c r="M26" s="53">
        <f>194+181</f>
        <v>375</v>
      </c>
      <c r="N26" s="53">
        <f>259+166</f>
        <v>425</v>
      </c>
      <c r="O26" s="53">
        <f>260+160</f>
        <v>420</v>
      </c>
      <c r="P26" s="138"/>
      <c r="Q26" s="53">
        <f>187+176</f>
        <v>363</v>
      </c>
      <c r="R26" s="53">
        <f>261+168</f>
        <v>429</v>
      </c>
      <c r="S26" s="138"/>
      <c r="T26" s="53">
        <f>205+201</f>
        <v>406</v>
      </c>
      <c r="U26" s="53">
        <f>241+145</f>
        <v>386</v>
      </c>
      <c r="V26" s="138"/>
      <c r="W26" s="53">
        <v>194</v>
      </c>
      <c r="X26" s="53">
        <f>258</f>
        <v>258</v>
      </c>
      <c r="Y26" s="138"/>
      <c r="Z26" s="53">
        <v>184</v>
      </c>
      <c r="AA26" s="53">
        <v>157</v>
      </c>
      <c r="AB26" s="138"/>
      <c r="AC26" s="53">
        <f>199+195</f>
        <v>394</v>
      </c>
      <c r="AD26" s="53">
        <f>206+190</f>
        <v>396</v>
      </c>
      <c r="AE26" s="53">
        <f>246+152</f>
        <v>398</v>
      </c>
      <c r="AF26" s="53">
        <f>245+150</f>
        <v>395</v>
      </c>
      <c r="AG26" s="138"/>
      <c r="AH26" s="53">
        <f>277+215</f>
        <v>492</v>
      </c>
      <c r="AI26" s="138"/>
      <c r="AJ26" s="53">
        <f>207+160</f>
        <v>367</v>
      </c>
      <c r="AK26" s="53">
        <f>214+174</f>
        <v>388</v>
      </c>
      <c r="AL26" s="53">
        <f>175+158</f>
        <v>333</v>
      </c>
      <c r="AM26" s="53">
        <f>206+170</f>
        <v>376</v>
      </c>
      <c r="AN26" s="138"/>
      <c r="AO26" s="53">
        <f>246+202</f>
        <v>448</v>
      </c>
      <c r="AP26" s="138"/>
      <c r="AQ26" s="53">
        <f>219+152</f>
        <v>371</v>
      </c>
      <c r="AR26" s="53">
        <f>224+184</f>
        <v>408</v>
      </c>
      <c r="AT26" s="53">
        <f>295+222</f>
        <v>517</v>
      </c>
      <c r="AU26" s="53">
        <f>149+113</f>
        <v>262</v>
      </c>
      <c r="AW26" s="53">
        <f>248+162</f>
        <v>410</v>
      </c>
      <c r="AX26" s="53">
        <f>188+172</f>
        <v>360</v>
      </c>
      <c r="AZ26" s="93"/>
      <c r="BA26" s="93"/>
      <c r="BB26" s="93"/>
      <c r="BC26" s="93"/>
    </row>
    <row r="27" spans="1:55" x14ac:dyDescent="0.25">
      <c r="A27" s="92" t="s">
        <v>43</v>
      </c>
      <c r="B27" s="192"/>
      <c r="C27" s="41">
        <v>410</v>
      </c>
      <c r="D27" s="41">
        <v>987</v>
      </c>
      <c r="E27" s="41">
        <v>4</v>
      </c>
      <c r="F27" s="41">
        <v>3</v>
      </c>
      <c r="G27" s="41">
        <v>3</v>
      </c>
      <c r="H27" s="138"/>
      <c r="I27" s="41">
        <v>409</v>
      </c>
      <c r="J27" s="41">
        <v>992</v>
      </c>
      <c r="K27" s="138"/>
      <c r="L27" s="41">
        <v>413</v>
      </c>
      <c r="M27" s="41">
        <v>407</v>
      </c>
      <c r="N27" s="41">
        <v>981</v>
      </c>
      <c r="O27" s="41">
        <v>966</v>
      </c>
      <c r="P27" s="138"/>
      <c r="Q27" s="41">
        <v>420</v>
      </c>
      <c r="R27" s="41">
        <v>967</v>
      </c>
      <c r="S27" s="138"/>
      <c r="T27" s="41">
        <v>458</v>
      </c>
      <c r="U27" s="41">
        <v>921</v>
      </c>
      <c r="V27" s="138"/>
      <c r="W27" s="41">
        <v>262</v>
      </c>
      <c r="X27" s="41">
        <v>607</v>
      </c>
      <c r="Y27" s="138"/>
      <c r="Z27" s="41">
        <v>166</v>
      </c>
      <c r="AA27" s="41">
        <v>346</v>
      </c>
      <c r="AB27" s="138"/>
      <c r="AC27" s="41">
        <v>445</v>
      </c>
      <c r="AD27" s="41">
        <v>436</v>
      </c>
      <c r="AE27" s="41">
        <v>930</v>
      </c>
      <c r="AF27" s="41">
        <v>947</v>
      </c>
      <c r="AG27" s="138"/>
      <c r="AH27" s="41">
        <v>998</v>
      </c>
      <c r="AI27" s="138"/>
      <c r="AJ27" s="41">
        <v>589</v>
      </c>
      <c r="AK27" s="41">
        <v>646</v>
      </c>
      <c r="AL27" s="41">
        <v>572</v>
      </c>
      <c r="AM27" s="41">
        <v>692</v>
      </c>
      <c r="AN27" s="138"/>
      <c r="AO27" s="41">
        <v>989</v>
      </c>
      <c r="AP27" s="138"/>
      <c r="AQ27" s="41">
        <v>532</v>
      </c>
      <c r="AR27" s="41">
        <v>704</v>
      </c>
      <c r="AT27" s="41">
        <v>829</v>
      </c>
      <c r="AU27" s="41">
        <v>409</v>
      </c>
      <c r="AW27" s="41">
        <v>658</v>
      </c>
      <c r="AX27" s="41">
        <v>577</v>
      </c>
      <c r="AZ27" s="93"/>
      <c r="BA27" s="93"/>
      <c r="BB27" s="93"/>
      <c r="BC27" s="93"/>
    </row>
    <row r="28" spans="1:55" x14ac:dyDescent="0.25">
      <c r="A28" s="94" t="s">
        <v>644</v>
      </c>
      <c r="B28" s="192"/>
      <c r="C28" s="95">
        <v>7</v>
      </c>
      <c r="D28" s="95">
        <v>13</v>
      </c>
      <c r="E28" s="95">
        <v>0</v>
      </c>
      <c r="F28" s="95">
        <v>0</v>
      </c>
      <c r="G28" s="95">
        <v>0</v>
      </c>
      <c r="H28" s="138"/>
      <c r="I28" s="95">
        <v>7</v>
      </c>
      <c r="J28" s="95">
        <v>13</v>
      </c>
      <c r="K28" s="138"/>
      <c r="L28" s="95">
        <v>8</v>
      </c>
      <c r="M28" s="95">
        <v>7</v>
      </c>
      <c r="N28" s="95">
        <v>13</v>
      </c>
      <c r="O28" s="95">
        <v>14</v>
      </c>
      <c r="P28" s="138"/>
      <c r="Q28" s="95">
        <v>7</v>
      </c>
      <c r="R28" s="95">
        <v>14</v>
      </c>
      <c r="S28" s="138"/>
      <c r="T28" s="95">
        <v>7</v>
      </c>
      <c r="U28" s="95">
        <v>14</v>
      </c>
      <c r="V28" s="138"/>
      <c r="W28" s="95">
        <v>3</v>
      </c>
      <c r="X28" s="95">
        <v>9</v>
      </c>
      <c r="Y28" s="138"/>
      <c r="Z28" s="95">
        <v>4</v>
      </c>
      <c r="AA28" s="95">
        <v>5</v>
      </c>
      <c r="AB28" s="138"/>
      <c r="AC28" s="95">
        <v>7</v>
      </c>
      <c r="AD28" s="95">
        <v>8</v>
      </c>
      <c r="AE28" s="95">
        <v>14</v>
      </c>
      <c r="AF28" s="95">
        <v>13</v>
      </c>
      <c r="AG28" s="138"/>
      <c r="AH28" s="95">
        <v>12</v>
      </c>
      <c r="AI28" s="138"/>
      <c r="AJ28" s="95">
        <v>11</v>
      </c>
      <c r="AK28" s="95">
        <v>7</v>
      </c>
      <c r="AL28" s="95">
        <v>6</v>
      </c>
      <c r="AM28" s="95">
        <v>11</v>
      </c>
      <c r="AN28" s="138"/>
      <c r="AO28" s="95">
        <v>10</v>
      </c>
      <c r="AP28" s="138"/>
      <c r="AQ28" s="95">
        <v>11</v>
      </c>
      <c r="AR28" s="95">
        <v>8</v>
      </c>
      <c r="AT28" s="95">
        <v>16</v>
      </c>
      <c r="AU28" s="95">
        <v>3</v>
      </c>
      <c r="AW28" s="95">
        <v>14</v>
      </c>
      <c r="AX28" s="95">
        <v>5</v>
      </c>
      <c r="AZ28" s="93"/>
      <c r="BA28" s="93"/>
      <c r="BB28" s="93"/>
      <c r="BC28" s="93"/>
    </row>
    <row r="29" spans="1:55" x14ac:dyDescent="0.25">
      <c r="A29" s="94" t="s">
        <v>645</v>
      </c>
      <c r="B29" s="192"/>
      <c r="C29" s="95">
        <v>70</v>
      </c>
      <c r="D29" s="95">
        <v>74</v>
      </c>
      <c r="E29" s="95">
        <v>2</v>
      </c>
      <c r="F29" s="95">
        <v>0</v>
      </c>
      <c r="G29" s="95">
        <v>0</v>
      </c>
      <c r="H29" s="138"/>
      <c r="I29" s="95">
        <v>64</v>
      </c>
      <c r="J29" s="95">
        <v>76</v>
      </c>
      <c r="K29" s="138"/>
      <c r="L29" s="95">
        <v>63</v>
      </c>
      <c r="M29" s="95">
        <v>65</v>
      </c>
      <c r="N29" s="95">
        <v>75</v>
      </c>
      <c r="O29" s="95">
        <v>75</v>
      </c>
      <c r="P29" s="138"/>
      <c r="Q29" s="95">
        <v>63</v>
      </c>
      <c r="R29" s="95">
        <v>72</v>
      </c>
      <c r="S29" s="138"/>
      <c r="T29" s="95">
        <v>65</v>
      </c>
      <c r="U29" s="95">
        <v>76</v>
      </c>
      <c r="V29" s="138"/>
      <c r="W29" s="95">
        <v>38</v>
      </c>
      <c r="X29" s="95">
        <v>52</v>
      </c>
      <c r="Y29" s="138"/>
      <c r="Z29" s="95">
        <v>27</v>
      </c>
      <c r="AA29" s="95">
        <v>25</v>
      </c>
      <c r="AB29" s="138"/>
      <c r="AC29" s="95">
        <v>70</v>
      </c>
      <c r="AD29" s="95">
        <v>66</v>
      </c>
      <c r="AE29" s="95">
        <v>73</v>
      </c>
      <c r="AF29" s="95">
        <v>72</v>
      </c>
      <c r="AG29" s="138"/>
      <c r="AH29" s="95">
        <v>98</v>
      </c>
      <c r="AI29" s="138"/>
      <c r="AJ29" s="95">
        <v>54</v>
      </c>
      <c r="AK29" s="95">
        <v>55</v>
      </c>
      <c r="AL29" s="95">
        <v>47</v>
      </c>
      <c r="AM29" s="95">
        <v>57</v>
      </c>
      <c r="AN29" s="138"/>
      <c r="AO29" s="95">
        <v>92</v>
      </c>
      <c r="AP29" s="138"/>
      <c r="AQ29" s="95">
        <v>52</v>
      </c>
      <c r="AR29" s="95">
        <v>66</v>
      </c>
      <c r="AT29" s="95">
        <v>78</v>
      </c>
      <c r="AU29" s="95">
        <v>39</v>
      </c>
      <c r="AW29" s="95">
        <v>55</v>
      </c>
      <c r="AX29" s="95">
        <v>62</v>
      </c>
      <c r="AZ29" s="93"/>
      <c r="BA29" s="93"/>
      <c r="BB29" s="93"/>
      <c r="BC29" s="93"/>
    </row>
    <row r="30" spans="1:55" ht="15.75" thickBot="1" x14ac:dyDescent="0.3">
      <c r="A30" s="94" t="s">
        <v>651</v>
      </c>
      <c r="B30" s="192"/>
      <c r="C30" s="95">
        <f>7+2</f>
        <v>9</v>
      </c>
      <c r="D30" s="95">
        <f>8+3</f>
        <v>11</v>
      </c>
      <c r="E30" s="95">
        <v>0</v>
      </c>
      <c r="F30" s="95">
        <v>0</v>
      </c>
      <c r="G30" s="95">
        <v>0</v>
      </c>
      <c r="H30" s="138"/>
      <c r="I30" s="95">
        <f>7+1</f>
        <v>8</v>
      </c>
      <c r="J30" s="95">
        <f>8+3</f>
        <v>11</v>
      </c>
      <c r="K30" s="138"/>
      <c r="L30" s="95">
        <f>8+1</f>
        <v>9</v>
      </c>
      <c r="M30" s="95">
        <f>7+1</f>
        <v>8</v>
      </c>
      <c r="N30" s="95">
        <f>7+3</f>
        <v>10</v>
      </c>
      <c r="O30" s="95">
        <f>7+3</f>
        <v>10</v>
      </c>
      <c r="P30" s="138"/>
      <c r="Q30" s="95">
        <f>7+2</f>
        <v>9</v>
      </c>
      <c r="R30" s="95">
        <f>7+3</f>
        <v>10</v>
      </c>
      <c r="S30" s="138"/>
      <c r="T30" s="95">
        <f>7+2</f>
        <v>9</v>
      </c>
      <c r="U30" s="95">
        <f>8+3</f>
        <v>11</v>
      </c>
      <c r="V30" s="138"/>
      <c r="W30" s="95">
        <f>5</f>
        <v>5</v>
      </c>
      <c r="X30" s="95">
        <f>7</f>
        <v>7</v>
      </c>
      <c r="Y30" s="138"/>
      <c r="Z30" s="95">
        <f>2</f>
        <v>2</v>
      </c>
      <c r="AA30" s="95">
        <f>1</f>
        <v>1</v>
      </c>
      <c r="AB30" s="138"/>
      <c r="AC30" s="95">
        <f>7+1</f>
        <v>8</v>
      </c>
      <c r="AD30" s="95">
        <f>7+1</f>
        <v>8</v>
      </c>
      <c r="AE30" s="95">
        <f>8+3</f>
        <v>11</v>
      </c>
      <c r="AF30" s="95">
        <f>8+3</f>
        <v>11</v>
      </c>
      <c r="AG30" s="138"/>
      <c r="AH30" s="95">
        <f>10+3</f>
        <v>13</v>
      </c>
      <c r="AI30" s="138"/>
      <c r="AJ30" s="95">
        <f>6+1</f>
        <v>7</v>
      </c>
      <c r="AK30" s="95">
        <f>5</f>
        <v>5</v>
      </c>
      <c r="AL30" s="95">
        <f>6+1</f>
        <v>7</v>
      </c>
      <c r="AM30" s="95">
        <f>5+1</f>
        <v>6</v>
      </c>
      <c r="AN30" s="138"/>
      <c r="AO30" s="95">
        <f>10+3</f>
        <v>13</v>
      </c>
      <c r="AP30" s="138"/>
      <c r="AQ30" s="95">
        <f>7+2</f>
        <v>9</v>
      </c>
      <c r="AR30" s="95">
        <f>4+2</f>
        <v>6</v>
      </c>
      <c r="AT30" s="95">
        <f>7+2</f>
        <v>9</v>
      </c>
      <c r="AU30" s="95">
        <f>3</f>
        <v>3</v>
      </c>
      <c r="AW30" s="95">
        <f>2</f>
        <v>2</v>
      </c>
      <c r="AX30" s="95">
        <f>2</f>
        <v>2</v>
      </c>
      <c r="AZ30" s="93"/>
      <c r="BA30" s="93"/>
      <c r="BB30" s="93"/>
      <c r="BC30" s="93"/>
    </row>
    <row r="31" spans="1:55" ht="15.75" thickBot="1" x14ac:dyDescent="0.3">
      <c r="A31" s="50" t="s">
        <v>45</v>
      </c>
      <c r="B31" s="192"/>
      <c r="C31" s="51">
        <f>+SUM(C25:C30)</f>
        <v>4511</v>
      </c>
      <c r="D31" s="51">
        <f t="shared" ref="D31:G31" si="10">+SUM(D25:D30)</f>
        <v>3636</v>
      </c>
      <c r="E31" s="51">
        <f t="shared" si="10"/>
        <v>21</v>
      </c>
      <c r="F31" s="51">
        <f t="shared" si="10"/>
        <v>25</v>
      </c>
      <c r="G31" s="51">
        <f t="shared" si="10"/>
        <v>11</v>
      </c>
      <c r="I31" s="51">
        <f t="shared" ref="I31:J31" si="11">+SUM(I25:I30)</f>
        <v>4324</v>
      </c>
      <c r="J31" s="51">
        <f t="shared" si="11"/>
        <v>3746</v>
      </c>
      <c r="L31" s="51">
        <f t="shared" ref="L31:O31" si="12">+SUM(L25:L30)</f>
        <v>4200</v>
      </c>
      <c r="M31" s="51">
        <f t="shared" si="12"/>
        <v>4254</v>
      </c>
      <c r="N31" s="51">
        <f t="shared" si="12"/>
        <v>3739</v>
      </c>
      <c r="O31" s="51">
        <f t="shared" si="12"/>
        <v>3596</v>
      </c>
      <c r="Q31" s="51">
        <f t="shared" ref="Q31:R31" si="13">+SUM(Q25:Q30)</f>
        <v>4314</v>
      </c>
      <c r="R31" s="51">
        <f t="shared" si="13"/>
        <v>3648</v>
      </c>
      <c r="T31" s="51">
        <f t="shared" ref="T31:U31" si="14">+SUM(T25:T30)</f>
        <v>4633</v>
      </c>
      <c r="U31" s="51">
        <f t="shared" si="14"/>
        <v>3330</v>
      </c>
      <c r="W31" s="51">
        <f t="shared" ref="W31:X31" si="15">+SUM(W25:W30)</f>
        <v>2337</v>
      </c>
      <c r="X31" s="51">
        <f t="shared" si="15"/>
        <v>2192</v>
      </c>
      <c r="Z31" s="51">
        <f t="shared" ref="Z31:AA31" si="16">+SUM(Z25:Z30)</f>
        <v>2112</v>
      </c>
      <c r="AA31" s="51">
        <f t="shared" si="16"/>
        <v>1288</v>
      </c>
      <c r="AC31" s="51">
        <f t="shared" ref="AC31:AF31" si="17">+SUM(AC25:AC30)</f>
        <v>4499</v>
      </c>
      <c r="AD31" s="51">
        <f t="shared" si="17"/>
        <v>4360</v>
      </c>
      <c r="AE31" s="51">
        <f t="shared" si="17"/>
        <v>3428</v>
      </c>
      <c r="AF31" s="51">
        <f t="shared" si="17"/>
        <v>3404</v>
      </c>
      <c r="AH31" s="51">
        <f>+SUM(AH25:AH30)</f>
        <v>5185</v>
      </c>
      <c r="AJ31" s="51">
        <f t="shared" ref="AJ31:AM31" si="18">+SUM(AJ25:AJ30)</f>
        <v>3598</v>
      </c>
      <c r="AK31" s="51">
        <f t="shared" si="18"/>
        <v>3894</v>
      </c>
      <c r="AL31" s="51">
        <f t="shared" si="18"/>
        <v>3435</v>
      </c>
      <c r="AM31" s="51">
        <f t="shared" si="18"/>
        <v>3297</v>
      </c>
      <c r="AO31" s="51">
        <f>+SUM(AO25:AO30)</f>
        <v>4959</v>
      </c>
      <c r="AQ31" s="51">
        <f t="shared" ref="AQ31:AR31" si="19">+SUM(AQ25:AQ30)</f>
        <v>3444</v>
      </c>
      <c r="AR31" s="51">
        <f t="shared" si="19"/>
        <v>3904</v>
      </c>
      <c r="AT31" s="51">
        <f t="shared" ref="AT31:AU31" si="20">+SUM(AT25:AT30)</f>
        <v>4567</v>
      </c>
      <c r="AU31" s="51">
        <f t="shared" si="20"/>
        <v>2652</v>
      </c>
      <c r="AW31" s="51">
        <f t="shared" ref="AW31:AX31" si="21">+SUM(AW25:AW30)</f>
        <v>3227</v>
      </c>
      <c r="AX31" s="51">
        <f t="shared" si="21"/>
        <v>3830</v>
      </c>
      <c r="AZ31" s="96"/>
      <c r="BA31" s="96"/>
      <c r="BB31" s="96"/>
      <c r="BC31" s="96"/>
    </row>
  </sheetData>
  <mergeCells count="22">
    <mergeCell ref="C2:G2"/>
    <mergeCell ref="I2:O2"/>
    <mergeCell ref="C3:G3"/>
    <mergeCell ref="I3:J3"/>
    <mergeCell ref="L3:O3"/>
    <mergeCell ref="AZ2:BC3"/>
    <mergeCell ref="Q3:R3"/>
    <mergeCell ref="T3:U3"/>
    <mergeCell ref="W2:X2"/>
    <mergeCell ref="W3:X3"/>
    <mergeCell ref="AW3:AX3"/>
    <mergeCell ref="AW6:AW8"/>
    <mergeCell ref="AX6:AX8"/>
    <mergeCell ref="Z3:AA3"/>
    <mergeCell ref="AC3:AF3"/>
    <mergeCell ref="AJ3:AM3"/>
    <mergeCell ref="AQ3:AR3"/>
    <mergeCell ref="AT3:AU3"/>
    <mergeCell ref="AQ6:AQ8"/>
    <mergeCell ref="AR6:AR8"/>
    <mergeCell ref="AT6:AT8"/>
    <mergeCell ref="AU6:AU8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25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1.85546875" style="191" customWidth="1"/>
    <col min="22" max="22" width="1.7109375" style="191" customWidth="1"/>
    <col min="23" max="24" width="11.85546875" style="191" customWidth="1"/>
    <col min="25" max="25" width="1.7109375" style="191" customWidth="1"/>
    <col min="26" max="27" width="14" style="191" customWidth="1"/>
    <col min="28" max="28" width="15" style="191" customWidth="1"/>
    <col min="29" max="29" width="1.7109375" style="191" customWidth="1"/>
    <col min="30" max="30" width="10.7109375" style="191" customWidth="1"/>
    <col min="31" max="35" width="12.7109375" style="191" customWidth="1"/>
    <col min="36" max="38" width="15" style="191" customWidth="1"/>
    <col min="39" max="39" width="1.7109375" style="191" customWidth="1"/>
    <col min="40" max="45" width="11.28515625" style="191" customWidth="1"/>
    <col min="46" max="46" width="1.7109375" style="191" customWidth="1"/>
    <col min="47" max="48" width="9.7109375" style="191" customWidth="1"/>
    <col min="49" max="49" width="1.7109375" style="191" customWidth="1"/>
    <col min="50" max="51" width="9.7109375" style="191" customWidth="1"/>
    <col min="52" max="52" width="1.7109375" style="191" customWidth="1"/>
    <col min="53" max="53" width="9.7109375" style="191" customWidth="1"/>
    <col min="54" max="55" width="9.5703125" style="191" customWidth="1"/>
    <col min="56" max="56" width="9.7109375" style="191" customWidth="1"/>
    <col min="57" max="78" width="13.42578125" style="191" customWidth="1"/>
    <col min="79" max="16384" width="9.140625" style="191"/>
  </cols>
  <sheetData>
    <row r="2" spans="1:56" x14ac:dyDescent="0.25">
      <c r="C2" s="224"/>
      <c r="D2" s="225"/>
      <c r="E2" s="225"/>
      <c r="F2" s="225"/>
      <c r="G2" s="226"/>
      <c r="H2" s="132"/>
      <c r="I2" s="224" t="s">
        <v>3</v>
      </c>
      <c r="J2" s="225"/>
      <c r="K2" s="225"/>
      <c r="L2" s="225"/>
      <c r="M2" s="225"/>
      <c r="N2" s="225"/>
      <c r="O2" s="226"/>
      <c r="P2" s="132"/>
      <c r="Q2" s="80"/>
      <c r="R2" s="81"/>
      <c r="S2" s="192"/>
      <c r="T2" s="80"/>
      <c r="U2" s="81"/>
      <c r="W2" s="80"/>
      <c r="X2" s="81"/>
      <c r="Y2" s="132"/>
      <c r="Z2" s="112"/>
      <c r="AA2" s="125"/>
      <c r="AB2" s="113"/>
      <c r="AC2" s="132"/>
      <c r="AD2" s="112"/>
      <c r="AE2" s="125"/>
      <c r="AF2" s="125"/>
      <c r="AG2" s="125"/>
      <c r="AH2" s="125"/>
      <c r="AI2" s="125"/>
      <c r="AJ2" s="125"/>
      <c r="AK2" s="125"/>
      <c r="AL2" s="113"/>
      <c r="AM2" s="132"/>
      <c r="AN2" s="112"/>
      <c r="AO2" s="125"/>
      <c r="AP2" s="125"/>
      <c r="AQ2" s="125"/>
      <c r="AR2" s="125"/>
      <c r="AS2" s="113"/>
      <c r="AT2" s="132"/>
      <c r="AU2" s="80"/>
      <c r="AV2" s="81"/>
      <c r="AW2" s="9"/>
      <c r="AX2" s="80"/>
      <c r="AY2" s="81"/>
      <c r="BA2" s="234" t="s">
        <v>5</v>
      </c>
      <c r="BB2" s="235"/>
      <c r="BC2" s="235"/>
      <c r="BD2" s="236"/>
    </row>
    <row r="3" spans="1:56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67"/>
      <c r="L3" s="227" t="s">
        <v>0</v>
      </c>
      <c r="M3" s="227"/>
      <c r="N3" s="227"/>
      <c r="O3" s="223"/>
      <c r="P3" s="132"/>
      <c r="Q3" s="222" t="s">
        <v>121</v>
      </c>
      <c r="R3" s="223"/>
      <c r="S3" s="192"/>
      <c r="T3" s="222" t="s">
        <v>122</v>
      </c>
      <c r="U3" s="223"/>
      <c r="W3" s="222" t="s">
        <v>125</v>
      </c>
      <c r="X3" s="223"/>
      <c r="Y3" s="132"/>
      <c r="Z3" s="222" t="s">
        <v>226</v>
      </c>
      <c r="AA3" s="227"/>
      <c r="AB3" s="223"/>
      <c r="AC3" s="132"/>
      <c r="AD3" s="222" t="s">
        <v>147</v>
      </c>
      <c r="AE3" s="227"/>
      <c r="AF3" s="227"/>
      <c r="AG3" s="227"/>
      <c r="AH3" s="227"/>
      <c r="AI3" s="227"/>
      <c r="AJ3" s="227"/>
      <c r="AK3" s="227"/>
      <c r="AL3" s="223"/>
      <c r="AM3" s="132"/>
      <c r="AN3" s="222" t="s">
        <v>240</v>
      </c>
      <c r="AO3" s="227"/>
      <c r="AP3" s="227"/>
      <c r="AQ3" s="227"/>
      <c r="AR3" s="227"/>
      <c r="AS3" s="223"/>
      <c r="AT3" s="132"/>
      <c r="AU3" s="222" t="s">
        <v>126</v>
      </c>
      <c r="AV3" s="223"/>
      <c r="AW3" s="9"/>
      <c r="AX3" s="222" t="s">
        <v>127</v>
      </c>
      <c r="AY3" s="223"/>
      <c r="BA3" s="219"/>
      <c r="BB3" s="220"/>
      <c r="BC3" s="220"/>
      <c r="BD3" s="221"/>
    </row>
    <row r="4" spans="1:56" ht="5.0999999999999996" customHeight="1" thickBot="1" x14ac:dyDescent="0.3">
      <c r="C4" s="115"/>
      <c r="D4" s="117"/>
      <c r="E4" s="117"/>
      <c r="F4" s="117"/>
      <c r="G4" s="116"/>
      <c r="H4" s="132"/>
      <c r="I4" s="75"/>
      <c r="J4" s="73"/>
      <c r="K4" s="64"/>
      <c r="L4" s="73"/>
      <c r="M4" s="73"/>
      <c r="N4" s="73"/>
      <c r="O4" s="74"/>
      <c r="P4" s="132"/>
      <c r="Q4" s="114"/>
      <c r="R4" s="79"/>
      <c r="S4" s="192"/>
      <c r="T4" s="114"/>
      <c r="U4" s="79"/>
      <c r="W4" s="114"/>
      <c r="X4" s="79"/>
      <c r="Y4" s="132"/>
      <c r="Z4" s="171"/>
      <c r="AA4" s="172"/>
      <c r="AB4" s="180"/>
      <c r="AC4" s="132"/>
      <c r="AD4" s="171"/>
      <c r="AE4" s="172"/>
      <c r="AF4" s="172"/>
      <c r="AG4" s="172"/>
      <c r="AH4" s="172"/>
      <c r="AI4" s="172"/>
      <c r="AJ4" s="172"/>
      <c r="AK4" s="172"/>
      <c r="AL4" s="180"/>
      <c r="AM4" s="132"/>
      <c r="AN4" s="171"/>
      <c r="AO4" s="172"/>
      <c r="AP4" s="172"/>
      <c r="AQ4" s="172"/>
      <c r="AR4" s="172"/>
      <c r="AS4" s="180"/>
      <c r="AT4" s="132"/>
      <c r="AU4" s="75"/>
      <c r="AV4" s="74"/>
      <c r="AW4" s="9"/>
      <c r="AX4" s="75"/>
      <c r="AY4" s="74"/>
      <c r="BA4" s="204"/>
      <c r="BB4" s="205"/>
      <c r="BC4" s="205"/>
      <c r="BD4" s="206"/>
    </row>
    <row r="5" spans="1:56" x14ac:dyDescent="0.25">
      <c r="C5" s="5"/>
      <c r="D5" s="8"/>
      <c r="E5" s="8"/>
      <c r="F5" s="8"/>
      <c r="G5" s="6"/>
      <c r="H5" s="132"/>
      <c r="I5" s="141"/>
      <c r="J5" s="142"/>
      <c r="K5" s="132"/>
      <c r="L5" s="141"/>
      <c r="M5" s="151"/>
      <c r="N5" s="151"/>
      <c r="O5" s="142"/>
      <c r="P5" s="132"/>
      <c r="Q5" s="141"/>
      <c r="R5" s="142"/>
      <c r="S5" s="132"/>
      <c r="T5" s="141"/>
      <c r="U5" s="142"/>
      <c r="V5" s="132"/>
      <c r="W5" s="141"/>
      <c r="X5" s="142"/>
      <c r="Y5" s="132"/>
      <c r="Z5" s="141"/>
      <c r="AA5" s="151"/>
      <c r="AB5" s="142"/>
      <c r="AC5" s="132"/>
      <c r="AD5" s="141"/>
      <c r="AE5" s="151"/>
      <c r="AF5" s="151"/>
      <c r="AG5" s="151"/>
      <c r="AH5" s="151"/>
      <c r="AI5" s="151"/>
      <c r="AJ5" s="151"/>
      <c r="AK5" s="151"/>
      <c r="AL5" s="142"/>
      <c r="AM5" s="132"/>
      <c r="AN5" s="141"/>
      <c r="AO5" s="151"/>
      <c r="AP5" s="151"/>
      <c r="AQ5" s="151"/>
      <c r="AR5" s="151"/>
      <c r="AS5" s="142"/>
      <c r="AT5" s="132"/>
      <c r="AU5" s="10"/>
      <c r="AV5" s="12"/>
      <c r="AW5" s="9"/>
      <c r="AX5" s="10"/>
      <c r="AY5" s="12"/>
      <c r="BA5" s="157"/>
      <c r="BB5" s="158"/>
      <c r="BC5" s="158"/>
      <c r="BD5" s="159"/>
    </row>
    <row r="6" spans="1:56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133" t="str">
        <f>+'Lead Sheet'!AA6</f>
        <v>Jean</v>
      </c>
      <c r="J6" s="134" t="str">
        <f>+'Lead Sheet'!AB6</f>
        <v>Dawn Marie</v>
      </c>
      <c r="K6" s="132"/>
      <c r="L6" s="133" t="str">
        <f>+'Lead Sheet'!AD6</f>
        <v>Michael</v>
      </c>
      <c r="M6" s="135" t="str">
        <f>+'Lead Sheet'!AE6</f>
        <v>Brandon</v>
      </c>
      <c r="N6" s="135" t="str">
        <f>+'Lead Sheet'!AF6</f>
        <v>Mark</v>
      </c>
      <c r="O6" s="134" t="str">
        <f>+'Lead Sheet'!AG6</f>
        <v>Allison</v>
      </c>
      <c r="P6" s="132"/>
      <c r="Q6" s="133" t="str">
        <f>+'Lead Sheet'!AR6</f>
        <v>Joseph J.</v>
      </c>
      <c r="R6" s="134" t="str">
        <f>+'Lead Sheet'!AS6</f>
        <v>Lisa</v>
      </c>
      <c r="S6" s="132"/>
      <c r="T6" s="133" t="str">
        <f>+'Lead Sheet'!AU6</f>
        <v>Frank X.</v>
      </c>
      <c r="U6" s="134" t="str">
        <f>+'Lead Sheet'!AV6</f>
        <v>Celeste</v>
      </c>
      <c r="V6" s="132"/>
      <c r="W6" s="133" t="str">
        <f>+'Lead Sheet'!BD6</f>
        <v>James</v>
      </c>
      <c r="X6" s="134" t="str">
        <f>+'Lead Sheet'!BE6</f>
        <v>Dr. William</v>
      </c>
      <c r="Y6" s="132"/>
      <c r="Z6" s="133" t="s">
        <v>432</v>
      </c>
      <c r="AA6" s="135" t="s">
        <v>183</v>
      </c>
      <c r="AB6" s="134" t="s">
        <v>462</v>
      </c>
      <c r="AC6" s="132"/>
      <c r="AD6" s="133" t="s">
        <v>465</v>
      </c>
      <c r="AE6" s="135" t="s">
        <v>467</v>
      </c>
      <c r="AF6" s="135" t="s">
        <v>469</v>
      </c>
      <c r="AG6" s="135" t="s">
        <v>183</v>
      </c>
      <c r="AH6" s="135" t="s">
        <v>183</v>
      </c>
      <c r="AI6" s="135" t="s">
        <v>183</v>
      </c>
      <c r="AJ6" s="135" t="s">
        <v>195</v>
      </c>
      <c r="AK6" s="135" t="s">
        <v>472</v>
      </c>
      <c r="AL6" s="134" t="s">
        <v>474</v>
      </c>
      <c r="AM6" s="132"/>
      <c r="AN6" s="133" t="s">
        <v>476</v>
      </c>
      <c r="AO6" s="135" t="s">
        <v>478</v>
      </c>
      <c r="AP6" s="135" t="s">
        <v>480</v>
      </c>
      <c r="AQ6" s="135" t="s">
        <v>482</v>
      </c>
      <c r="AR6" s="135" t="s">
        <v>484</v>
      </c>
      <c r="AS6" s="134" t="s">
        <v>486</v>
      </c>
      <c r="AT6" s="132"/>
      <c r="AU6" s="229" t="s">
        <v>9</v>
      </c>
      <c r="AV6" s="230" t="s">
        <v>10</v>
      </c>
      <c r="AW6" s="9"/>
      <c r="AX6" s="229" t="s">
        <v>9</v>
      </c>
      <c r="AY6" s="230" t="s">
        <v>10</v>
      </c>
      <c r="BA6" s="160" t="s">
        <v>8</v>
      </c>
      <c r="BB6" s="161" t="s">
        <v>8</v>
      </c>
      <c r="BC6" s="161" t="s">
        <v>8</v>
      </c>
      <c r="BD6" s="162" t="s">
        <v>8</v>
      </c>
    </row>
    <row r="7" spans="1:56" ht="15" customHeight="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133" t="str">
        <f>+'Lead Sheet'!AA7</f>
        <v>STANFIELD</v>
      </c>
      <c r="J7" s="134" t="str">
        <f>+'Lead Sheet'!AB7</f>
        <v>ADDIEGO</v>
      </c>
      <c r="K7" s="132"/>
      <c r="L7" s="133" t="str">
        <f>+'Lead Sheet'!AD7</f>
        <v>TORRISSI, Jr.</v>
      </c>
      <c r="M7" s="135" t="str">
        <f>+'Lead Sheet'!AE7</f>
        <v>UMBA</v>
      </c>
      <c r="N7" s="135" t="str">
        <f>+'Lead Sheet'!AF7</f>
        <v>NATALE</v>
      </c>
      <c r="O7" s="134" t="str">
        <f>+'Lead Sheet'!AG7</f>
        <v>ECKEL</v>
      </c>
      <c r="P7" s="132"/>
      <c r="Q7" s="133" t="str">
        <f>+'Lead Sheet'!AR7</f>
        <v>GIRALO</v>
      </c>
      <c r="R7" s="134" t="str">
        <f>+'Lead Sheet'!AS7</f>
        <v>JIAMPETTI</v>
      </c>
      <c r="S7" s="132"/>
      <c r="T7" s="133" t="str">
        <f>+'Lead Sheet'!AU7</f>
        <v>BALLES</v>
      </c>
      <c r="U7" s="134" t="str">
        <f>+'Lead Sheet'!AV7</f>
        <v>FERNANDEZ</v>
      </c>
      <c r="V7" s="132"/>
      <c r="W7" s="133" t="str">
        <f>+'Lead Sheet'!BD7</f>
        <v>BERTINO</v>
      </c>
      <c r="X7" s="134" t="str">
        <f>+'Lead Sheet'!BE7</f>
        <v>BEYERS</v>
      </c>
      <c r="Y7" s="132"/>
      <c r="Z7" s="133" t="s">
        <v>433</v>
      </c>
      <c r="AA7" s="135" t="s">
        <v>159</v>
      </c>
      <c r="AB7" s="134" t="s">
        <v>463</v>
      </c>
      <c r="AC7" s="132"/>
      <c r="AD7" s="133" t="s">
        <v>466</v>
      </c>
      <c r="AE7" s="135" t="s">
        <v>468</v>
      </c>
      <c r="AF7" s="135" t="s">
        <v>470</v>
      </c>
      <c r="AG7" s="135" t="s">
        <v>159</v>
      </c>
      <c r="AH7" s="135" t="s">
        <v>159</v>
      </c>
      <c r="AI7" s="135" t="s">
        <v>159</v>
      </c>
      <c r="AJ7" s="135" t="s">
        <v>471</v>
      </c>
      <c r="AK7" s="135" t="s">
        <v>473</v>
      </c>
      <c r="AL7" s="134" t="s">
        <v>475</v>
      </c>
      <c r="AM7" s="132"/>
      <c r="AN7" s="133" t="s">
        <v>477</v>
      </c>
      <c r="AO7" s="135" t="s">
        <v>479</v>
      </c>
      <c r="AP7" s="135" t="s">
        <v>481</v>
      </c>
      <c r="AQ7" s="135" t="s">
        <v>483</v>
      </c>
      <c r="AR7" s="135" t="s">
        <v>485</v>
      </c>
      <c r="AS7" s="134" t="s">
        <v>487</v>
      </c>
      <c r="AT7" s="132"/>
      <c r="AU7" s="229"/>
      <c r="AV7" s="230"/>
      <c r="AW7" s="9"/>
      <c r="AX7" s="229"/>
      <c r="AY7" s="230"/>
      <c r="BA7" s="160" t="s">
        <v>12</v>
      </c>
      <c r="BB7" s="161" t="s">
        <v>144</v>
      </c>
      <c r="BC7" s="161" t="s">
        <v>13</v>
      </c>
      <c r="BD7" s="162" t="s">
        <v>14</v>
      </c>
    </row>
    <row r="8" spans="1:56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133" t="str">
        <f>+'Lead Sheet'!AA8</f>
        <v>Republican</v>
      </c>
      <c r="J8" s="134" t="str">
        <f>+'Lead Sheet'!AB8</f>
        <v>Democrat</v>
      </c>
      <c r="K8" s="132"/>
      <c r="L8" s="133" t="str">
        <f>+'Lead Sheet'!AD8</f>
        <v>Republican</v>
      </c>
      <c r="M8" s="135" t="str">
        <f>+'Lead Sheet'!AE8</f>
        <v>Republican</v>
      </c>
      <c r="N8" s="135" t="str">
        <f>+'Lead Sheet'!AF8</f>
        <v>Democrat</v>
      </c>
      <c r="O8" s="134" t="str">
        <f>+'Lead Sheet'!AG8</f>
        <v>Democrat</v>
      </c>
      <c r="P8" s="132"/>
      <c r="Q8" s="133" t="str">
        <f>+'Lead Sheet'!AR8</f>
        <v>Republican</v>
      </c>
      <c r="R8" s="134" t="str">
        <f>+'Lead Sheet'!AS8</f>
        <v>Democrat</v>
      </c>
      <c r="S8" s="132"/>
      <c r="T8" s="133" t="str">
        <f>+'Lead Sheet'!AU8</f>
        <v>Republican</v>
      </c>
      <c r="U8" s="134" t="str">
        <f>+'Lead Sheet'!AV8</f>
        <v>Democrat</v>
      </c>
      <c r="V8" s="132"/>
      <c r="W8" s="133" t="str">
        <f>+'Lead Sheet'!BD8</f>
        <v>Republican</v>
      </c>
      <c r="X8" s="134" t="str">
        <f>+'Lead Sheet'!BE8</f>
        <v>Democrat</v>
      </c>
      <c r="Y8" s="132"/>
      <c r="Z8" s="133" t="s">
        <v>16</v>
      </c>
      <c r="AA8" s="135" t="s">
        <v>59</v>
      </c>
      <c r="AB8" s="134" t="s">
        <v>464</v>
      </c>
      <c r="AC8" s="132"/>
      <c r="AD8" s="133" t="s">
        <v>16</v>
      </c>
      <c r="AE8" s="135" t="s">
        <v>16</v>
      </c>
      <c r="AF8" s="135" t="s">
        <v>16</v>
      </c>
      <c r="AG8" s="135" t="s">
        <v>59</v>
      </c>
      <c r="AH8" s="135" t="s">
        <v>59</v>
      </c>
      <c r="AI8" s="135" t="s">
        <v>59</v>
      </c>
      <c r="AJ8" s="135" t="s">
        <v>464</v>
      </c>
      <c r="AK8" s="135" t="s">
        <v>464</v>
      </c>
      <c r="AL8" s="134" t="s">
        <v>464</v>
      </c>
      <c r="AM8" s="132"/>
      <c r="AN8" s="133"/>
      <c r="AO8" s="135"/>
      <c r="AP8" s="135"/>
      <c r="AQ8" s="135"/>
      <c r="AR8" s="135"/>
      <c r="AS8" s="134"/>
      <c r="AT8" s="132"/>
      <c r="AU8" s="229"/>
      <c r="AV8" s="230"/>
      <c r="AW8" s="9"/>
      <c r="AX8" s="229"/>
      <c r="AY8" s="230"/>
      <c r="BA8" s="160" t="s">
        <v>18</v>
      </c>
      <c r="BB8" s="161" t="s">
        <v>145</v>
      </c>
      <c r="BC8" s="161" t="s">
        <v>19</v>
      </c>
      <c r="BD8" s="162" t="s">
        <v>18</v>
      </c>
    </row>
    <row r="9" spans="1:56" x14ac:dyDescent="0.25">
      <c r="C9" s="60"/>
      <c r="D9" s="31"/>
      <c r="E9" s="31"/>
      <c r="F9" s="31"/>
      <c r="G9" s="61" t="str">
        <f>+'Lead Sheet'!G9</f>
        <v>Party</v>
      </c>
      <c r="H9" s="132"/>
      <c r="I9" s="133"/>
      <c r="J9" s="134"/>
      <c r="K9" s="132"/>
      <c r="L9" s="133"/>
      <c r="M9" s="135"/>
      <c r="N9" s="135"/>
      <c r="O9" s="134"/>
      <c r="P9" s="132"/>
      <c r="Q9" s="133"/>
      <c r="R9" s="134"/>
      <c r="S9" s="132"/>
      <c r="T9" s="133"/>
      <c r="U9" s="134"/>
      <c r="V9" s="132"/>
      <c r="W9" s="133"/>
      <c r="X9" s="134"/>
      <c r="Y9" s="132"/>
      <c r="Z9" s="133"/>
      <c r="AA9" s="135"/>
      <c r="AB9" s="134"/>
      <c r="AC9" s="132"/>
      <c r="AD9" s="133"/>
      <c r="AE9" s="135"/>
      <c r="AF9" s="135"/>
      <c r="AG9" s="135"/>
      <c r="AH9" s="135"/>
      <c r="AI9" s="135"/>
      <c r="AJ9" s="135"/>
      <c r="AK9" s="135"/>
      <c r="AL9" s="134"/>
      <c r="AM9" s="132"/>
      <c r="AN9" s="133"/>
      <c r="AO9" s="135"/>
      <c r="AP9" s="135"/>
      <c r="AQ9" s="135"/>
      <c r="AR9" s="135"/>
      <c r="AS9" s="134"/>
      <c r="AT9" s="132"/>
      <c r="AU9" s="27"/>
      <c r="AV9" s="28"/>
      <c r="AW9" s="9"/>
      <c r="AX9" s="27"/>
      <c r="AY9" s="28"/>
      <c r="BA9" s="164"/>
      <c r="BB9" s="163"/>
      <c r="BC9" s="163"/>
      <c r="BD9" s="165"/>
    </row>
    <row r="10" spans="1:56" ht="5.0999999999999996" customHeight="1" thickBot="1" x14ac:dyDescent="0.3">
      <c r="C10" s="29"/>
      <c r="D10" s="32"/>
      <c r="E10" s="32"/>
      <c r="F10" s="32"/>
      <c r="G10" s="30"/>
      <c r="H10" s="132"/>
      <c r="I10" s="136"/>
      <c r="J10" s="137"/>
      <c r="K10" s="132"/>
      <c r="L10" s="136"/>
      <c r="M10" s="152"/>
      <c r="N10" s="152"/>
      <c r="O10" s="137"/>
      <c r="P10" s="132"/>
      <c r="Q10" s="136"/>
      <c r="R10" s="137"/>
      <c r="S10" s="132"/>
      <c r="T10" s="136"/>
      <c r="U10" s="137"/>
      <c r="V10" s="132"/>
      <c r="W10" s="136"/>
      <c r="X10" s="137"/>
      <c r="Y10" s="132"/>
      <c r="Z10" s="136"/>
      <c r="AA10" s="152"/>
      <c r="AB10" s="137"/>
      <c r="AC10" s="132"/>
      <c r="AD10" s="136"/>
      <c r="AE10" s="152"/>
      <c r="AF10" s="152"/>
      <c r="AG10" s="152"/>
      <c r="AH10" s="152"/>
      <c r="AI10" s="152"/>
      <c r="AJ10" s="152"/>
      <c r="AK10" s="152"/>
      <c r="AL10" s="137"/>
      <c r="AM10" s="132"/>
      <c r="AN10" s="136"/>
      <c r="AO10" s="152"/>
      <c r="AP10" s="152"/>
      <c r="AQ10" s="152"/>
      <c r="AR10" s="152"/>
      <c r="AS10" s="137"/>
      <c r="AT10" s="132"/>
      <c r="AU10" s="36"/>
      <c r="AV10" s="38"/>
      <c r="AW10" s="9"/>
      <c r="AX10" s="36"/>
      <c r="AY10" s="38"/>
      <c r="BA10" s="166"/>
      <c r="BB10" s="167"/>
      <c r="BC10" s="167"/>
      <c r="BD10" s="168"/>
    </row>
    <row r="11" spans="1:56" x14ac:dyDescent="0.25">
      <c r="A11" s="191" t="s">
        <v>455</v>
      </c>
      <c r="C11" s="59">
        <v>477</v>
      </c>
      <c r="D11" s="59">
        <v>137</v>
      </c>
      <c r="E11" s="59">
        <v>6</v>
      </c>
      <c r="F11" s="59">
        <v>0</v>
      </c>
      <c r="G11" s="59">
        <v>1</v>
      </c>
      <c r="I11" s="59">
        <v>426</v>
      </c>
      <c r="J11" s="59">
        <v>143</v>
      </c>
      <c r="L11" s="59">
        <v>468</v>
      </c>
      <c r="M11" s="59">
        <v>414</v>
      </c>
      <c r="N11" s="59">
        <v>129</v>
      </c>
      <c r="O11" s="59">
        <v>129</v>
      </c>
      <c r="Q11" s="59">
        <v>479</v>
      </c>
      <c r="R11" s="59">
        <v>115</v>
      </c>
      <c r="T11" s="59">
        <v>476</v>
      </c>
      <c r="U11" s="59">
        <v>96</v>
      </c>
      <c r="W11" s="59">
        <v>491</v>
      </c>
      <c r="X11" s="59">
        <v>92</v>
      </c>
      <c r="Z11" s="59">
        <v>282</v>
      </c>
      <c r="AA11" s="59"/>
      <c r="AB11" s="59">
        <v>296</v>
      </c>
      <c r="AD11" s="59">
        <v>282</v>
      </c>
      <c r="AE11" s="59">
        <v>262</v>
      </c>
      <c r="AF11" s="59">
        <v>250</v>
      </c>
      <c r="AG11" s="59"/>
      <c r="AH11" s="59"/>
      <c r="AI11" s="59"/>
      <c r="AJ11" s="59">
        <v>294</v>
      </c>
      <c r="AK11" s="59">
        <v>288</v>
      </c>
      <c r="AL11" s="59">
        <v>310</v>
      </c>
      <c r="AN11" s="59">
        <v>179</v>
      </c>
      <c r="AO11" s="59">
        <v>245</v>
      </c>
      <c r="AP11" s="59">
        <v>187</v>
      </c>
      <c r="AQ11" s="59">
        <v>242</v>
      </c>
      <c r="AR11" s="59">
        <v>252</v>
      </c>
      <c r="AS11" s="59">
        <v>217</v>
      </c>
      <c r="AU11" s="59">
        <v>226</v>
      </c>
      <c r="AV11" s="59">
        <v>236</v>
      </c>
      <c r="AX11" s="59">
        <v>298</v>
      </c>
      <c r="AY11" s="59">
        <v>132</v>
      </c>
      <c r="BA11" s="40">
        <v>626</v>
      </c>
      <c r="BB11" s="237">
        <v>634</v>
      </c>
      <c r="BC11" s="237">
        <v>807</v>
      </c>
      <c r="BD11" s="237">
        <f>22+68</f>
        <v>90</v>
      </c>
    </row>
    <row r="12" spans="1:56" x14ac:dyDescent="0.25">
      <c r="A12" s="191" t="s">
        <v>456</v>
      </c>
      <c r="C12" s="40">
        <v>380</v>
      </c>
      <c r="D12" s="40">
        <v>96</v>
      </c>
      <c r="E12" s="40">
        <v>1</v>
      </c>
      <c r="F12" s="40">
        <v>1</v>
      </c>
      <c r="G12" s="40">
        <v>1</v>
      </c>
      <c r="I12" s="40">
        <v>334</v>
      </c>
      <c r="J12" s="40">
        <v>112</v>
      </c>
      <c r="L12" s="40">
        <v>353</v>
      </c>
      <c r="M12" s="40">
        <v>319</v>
      </c>
      <c r="N12" s="40">
        <v>100</v>
      </c>
      <c r="O12" s="40">
        <v>104</v>
      </c>
      <c r="Q12" s="40">
        <v>374</v>
      </c>
      <c r="R12" s="40">
        <v>84</v>
      </c>
      <c r="T12" s="40">
        <v>353</v>
      </c>
      <c r="U12" s="40">
        <v>84</v>
      </c>
      <c r="W12" s="40">
        <v>377</v>
      </c>
      <c r="X12" s="40">
        <v>77</v>
      </c>
      <c r="Z12" s="40">
        <v>209</v>
      </c>
      <c r="AA12" s="40"/>
      <c r="AB12" s="40">
        <v>239</v>
      </c>
      <c r="AD12" s="40">
        <v>213</v>
      </c>
      <c r="AE12" s="40">
        <v>201</v>
      </c>
      <c r="AF12" s="40">
        <v>201</v>
      </c>
      <c r="AG12" s="40"/>
      <c r="AH12" s="40"/>
      <c r="AI12" s="40"/>
      <c r="AJ12" s="40">
        <v>220</v>
      </c>
      <c r="AK12" s="40">
        <v>230</v>
      </c>
      <c r="AL12" s="40">
        <v>217</v>
      </c>
      <c r="AN12" s="40">
        <v>168</v>
      </c>
      <c r="AO12" s="40">
        <v>175</v>
      </c>
      <c r="AP12" s="40">
        <v>129</v>
      </c>
      <c r="AQ12" s="40">
        <v>170</v>
      </c>
      <c r="AR12" s="40">
        <v>187</v>
      </c>
      <c r="AS12" s="40">
        <v>133</v>
      </c>
      <c r="AU12" s="40">
        <v>176</v>
      </c>
      <c r="AV12" s="40">
        <v>199</v>
      </c>
      <c r="AX12" s="40">
        <v>228</v>
      </c>
      <c r="AY12" s="40">
        <v>119</v>
      </c>
      <c r="BA12" s="40">
        <v>485</v>
      </c>
      <c r="BB12" s="232"/>
      <c r="BC12" s="232"/>
      <c r="BD12" s="232"/>
    </row>
    <row r="13" spans="1:56" x14ac:dyDescent="0.25">
      <c r="A13" s="191" t="s">
        <v>457</v>
      </c>
      <c r="C13" s="40">
        <v>419</v>
      </c>
      <c r="D13" s="40">
        <v>135</v>
      </c>
      <c r="E13" s="40">
        <v>1</v>
      </c>
      <c r="F13" s="40">
        <v>0</v>
      </c>
      <c r="G13" s="40">
        <v>0</v>
      </c>
      <c r="I13" s="40">
        <v>374</v>
      </c>
      <c r="J13" s="40">
        <v>142</v>
      </c>
      <c r="L13" s="40">
        <v>393</v>
      </c>
      <c r="M13" s="40">
        <v>369</v>
      </c>
      <c r="N13" s="40">
        <v>132</v>
      </c>
      <c r="O13" s="40">
        <v>125</v>
      </c>
      <c r="Q13" s="40">
        <v>431</v>
      </c>
      <c r="R13" s="40">
        <v>112</v>
      </c>
      <c r="T13" s="40">
        <v>400</v>
      </c>
      <c r="U13" s="40">
        <v>112</v>
      </c>
      <c r="W13" s="40">
        <v>429</v>
      </c>
      <c r="X13" s="40">
        <v>103</v>
      </c>
      <c r="Z13" s="40">
        <v>263</v>
      </c>
      <c r="AA13" s="40"/>
      <c r="AB13" s="40">
        <v>260</v>
      </c>
      <c r="AD13" s="40">
        <v>265</v>
      </c>
      <c r="AE13" s="40">
        <v>249</v>
      </c>
      <c r="AF13" s="40">
        <v>253</v>
      </c>
      <c r="AG13" s="40"/>
      <c r="AH13" s="40"/>
      <c r="AI13" s="40"/>
      <c r="AJ13" s="40">
        <v>260</v>
      </c>
      <c r="AK13" s="40">
        <v>247</v>
      </c>
      <c r="AL13" s="40">
        <v>222</v>
      </c>
      <c r="AN13" s="40">
        <v>205</v>
      </c>
      <c r="AO13" s="40">
        <v>184</v>
      </c>
      <c r="AP13" s="40">
        <v>137</v>
      </c>
      <c r="AQ13" s="40">
        <v>221</v>
      </c>
      <c r="AR13" s="40">
        <v>221</v>
      </c>
      <c r="AS13" s="40">
        <v>179</v>
      </c>
      <c r="AU13" s="40">
        <v>209</v>
      </c>
      <c r="AV13" s="40">
        <v>219</v>
      </c>
      <c r="AX13" s="40">
        <v>269</v>
      </c>
      <c r="AY13" s="40">
        <v>130</v>
      </c>
      <c r="BA13" s="40">
        <v>561</v>
      </c>
      <c r="BB13" s="232"/>
      <c r="BC13" s="232"/>
      <c r="BD13" s="232"/>
    </row>
    <row r="14" spans="1:56" x14ac:dyDescent="0.25">
      <c r="A14" s="191" t="s">
        <v>458</v>
      </c>
      <c r="C14" s="40">
        <v>297</v>
      </c>
      <c r="D14" s="40">
        <v>113</v>
      </c>
      <c r="E14" s="40">
        <v>1</v>
      </c>
      <c r="F14" s="40">
        <v>1</v>
      </c>
      <c r="G14" s="40">
        <v>0</v>
      </c>
      <c r="I14" s="40">
        <v>252</v>
      </c>
      <c r="J14" s="40">
        <v>120</v>
      </c>
      <c r="L14" s="40">
        <v>270</v>
      </c>
      <c r="M14" s="40">
        <v>236</v>
      </c>
      <c r="N14" s="40">
        <v>108</v>
      </c>
      <c r="O14" s="40">
        <v>112</v>
      </c>
      <c r="Q14" s="40">
        <v>281</v>
      </c>
      <c r="R14" s="40">
        <v>104</v>
      </c>
      <c r="T14" s="40">
        <v>264</v>
      </c>
      <c r="U14" s="40">
        <v>98</v>
      </c>
      <c r="W14" s="40">
        <v>287</v>
      </c>
      <c r="X14" s="40">
        <v>97</v>
      </c>
      <c r="Z14" s="40">
        <v>176</v>
      </c>
      <c r="AA14" s="40"/>
      <c r="AB14" s="40">
        <v>196</v>
      </c>
      <c r="AD14" s="40">
        <v>178</v>
      </c>
      <c r="AE14" s="40">
        <v>173</v>
      </c>
      <c r="AF14" s="40">
        <v>184</v>
      </c>
      <c r="AG14" s="40"/>
      <c r="AH14" s="40"/>
      <c r="AI14" s="40"/>
      <c r="AJ14" s="40">
        <v>184</v>
      </c>
      <c r="AK14" s="40">
        <v>184</v>
      </c>
      <c r="AL14" s="40">
        <v>167</v>
      </c>
      <c r="AN14" s="40">
        <v>162</v>
      </c>
      <c r="AO14" s="40">
        <v>146</v>
      </c>
      <c r="AP14" s="40">
        <v>113</v>
      </c>
      <c r="AQ14" s="40">
        <v>159</v>
      </c>
      <c r="AR14" s="40">
        <v>165</v>
      </c>
      <c r="AS14" s="40">
        <v>84</v>
      </c>
      <c r="AU14" s="40">
        <v>155</v>
      </c>
      <c r="AV14" s="40">
        <v>131</v>
      </c>
      <c r="AX14" s="40">
        <v>187</v>
      </c>
      <c r="AY14" s="40">
        <v>77</v>
      </c>
      <c r="BA14" s="40">
        <v>415</v>
      </c>
      <c r="BB14" s="232"/>
      <c r="BC14" s="232"/>
      <c r="BD14" s="232"/>
    </row>
    <row r="15" spans="1:56" x14ac:dyDescent="0.25">
      <c r="A15" s="191" t="s">
        <v>459</v>
      </c>
      <c r="C15" s="40">
        <v>401</v>
      </c>
      <c r="D15" s="40">
        <v>156</v>
      </c>
      <c r="E15" s="40">
        <v>5</v>
      </c>
      <c r="F15" s="40">
        <v>4</v>
      </c>
      <c r="G15" s="40">
        <v>0</v>
      </c>
      <c r="I15" s="40">
        <v>379</v>
      </c>
      <c r="J15" s="40">
        <v>153</v>
      </c>
      <c r="L15" s="40">
        <v>399</v>
      </c>
      <c r="M15" s="40">
        <v>368</v>
      </c>
      <c r="N15" s="40">
        <v>144</v>
      </c>
      <c r="O15" s="40">
        <v>137</v>
      </c>
      <c r="Q15" s="40">
        <v>426</v>
      </c>
      <c r="R15" s="40">
        <v>119</v>
      </c>
      <c r="T15" s="40">
        <v>404</v>
      </c>
      <c r="U15" s="40">
        <v>124</v>
      </c>
      <c r="W15" s="40">
        <v>424</v>
      </c>
      <c r="X15" s="40">
        <v>113</v>
      </c>
      <c r="Z15" s="40">
        <v>233</v>
      </c>
      <c r="AA15" s="40"/>
      <c r="AB15" s="40">
        <v>307</v>
      </c>
      <c r="AD15" s="40">
        <v>248</v>
      </c>
      <c r="AE15" s="40">
        <v>231</v>
      </c>
      <c r="AF15" s="40">
        <v>234</v>
      </c>
      <c r="AG15" s="40"/>
      <c r="AH15" s="40"/>
      <c r="AI15" s="40"/>
      <c r="AJ15" s="40">
        <v>299</v>
      </c>
      <c r="AK15" s="40">
        <v>291</v>
      </c>
      <c r="AL15" s="40">
        <v>267</v>
      </c>
      <c r="AN15" s="40">
        <v>198</v>
      </c>
      <c r="AO15" s="40">
        <v>244</v>
      </c>
      <c r="AP15" s="40">
        <v>179</v>
      </c>
      <c r="AQ15" s="40">
        <v>227</v>
      </c>
      <c r="AR15" s="40">
        <v>212</v>
      </c>
      <c r="AS15" s="40">
        <v>193</v>
      </c>
      <c r="AU15" s="40">
        <v>231</v>
      </c>
      <c r="AV15" s="40">
        <v>220</v>
      </c>
      <c r="AX15" s="40">
        <v>285</v>
      </c>
      <c r="AY15" s="40">
        <v>134</v>
      </c>
      <c r="BA15" s="40">
        <v>578</v>
      </c>
      <c r="BB15" s="232"/>
      <c r="BC15" s="232"/>
      <c r="BD15" s="232"/>
    </row>
    <row r="16" spans="1:56" x14ac:dyDescent="0.25">
      <c r="A16" s="191" t="s">
        <v>460</v>
      </c>
      <c r="C16" s="40">
        <v>289</v>
      </c>
      <c r="D16" s="40">
        <v>94</v>
      </c>
      <c r="E16" s="40">
        <v>1</v>
      </c>
      <c r="F16" s="40">
        <v>2</v>
      </c>
      <c r="G16" s="40">
        <v>0</v>
      </c>
      <c r="I16" s="40">
        <v>272</v>
      </c>
      <c r="J16" s="40">
        <v>89</v>
      </c>
      <c r="L16" s="40">
        <v>275</v>
      </c>
      <c r="M16" s="40">
        <v>247</v>
      </c>
      <c r="N16" s="40">
        <v>87</v>
      </c>
      <c r="O16" s="40">
        <v>83</v>
      </c>
      <c r="Q16" s="40">
        <v>288</v>
      </c>
      <c r="R16" s="40">
        <v>90</v>
      </c>
      <c r="T16" s="40">
        <v>273</v>
      </c>
      <c r="U16" s="40">
        <v>82</v>
      </c>
      <c r="W16" s="40">
        <v>290</v>
      </c>
      <c r="X16" s="40">
        <v>79</v>
      </c>
      <c r="Z16" s="40">
        <v>168</v>
      </c>
      <c r="AA16" s="40"/>
      <c r="AB16" s="40">
        <v>197</v>
      </c>
      <c r="AD16" s="40">
        <v>176</v>
      </c>
      <c r="AE16" s="40">
        <v>156</v>
      </c>
      <c r="AF16" s="40">
        <v>155</v>
      </c>
      <c r="AG16" s="40"/>
      <c r="AH16" s="40"/>
      <c r="AI16" s="40"/>
      <c r="AJ16" s="40">
        <v>190</v>
      </c>
      <c r="AK16" s="40">
        <v>181</v>
      </c>
      <c r="AL16" s="40">
        <v>187</v>
      </c>
      <c r="AN16" s="40">
        <v>116</v>
      </c>
      <c r="AO16" s="40">
        <v>150</v>
      </c>
      <c r="AP16" s="40">
        <v>99</v>
      </c>
      <c r="AQ16" s="40">
        <v>153</v>
      </c>
      <c r="AR16" s="40">
        <v>151</v>
      </c>
      <c r="AS16" s="40">
        <v>137</v>
      </c>
      <c r="AU16" s="40">
        <v>166</v>
      </c>
      <c r="AV16" s="40">
        <v>153</v>
      </c>
      <c r="AX16" s="40">
        <v>197</v>
      </c>
      <c r="AY16" s="40">
        <v>101</v>
      </c>
      <c r="BA16" s="40">
        <v>396</v>
      </c>
      <c r="BB16" s="232"/>
      <c r="BC16" s="232"/>
      <c r="BD16" s="232"/>
    </row>
    <row r="17" spans="1:56" x14ac:dyDescent="0.25">
      <c r="A17" s="191" t="s">
        <v>461</v>
      </c>
      <c r="C17" s="40">
        <v>382</v>
      </c>
      <c r="D17" s="40">
        <v>155</v>
      </c>
      <c r="E17" s="40">
        <v>3</v>
      </c>
      <c r="F17" s="40">
        <v>6</v>
      </c>
      <c r="G17" s="40">
        <v>0</v>
      </c>
      <c r="I17" s="40">
        <v>338</v>
      </c>
      <c r="J17" s="40">
        <v>166</v>
      </c>
      <c r="L17" s="40">
        <v>371</v>
      </c>
      <c r="M17" s="40">
        <v>337</v>
      </c>
      <c r="N17" s="40">
        <v>148</v>
      </c>
      <c r="O17" s="40">
        <v>149</v>
      </c>
      <c r="Q17" s="40">
        <v>387</v>
      </c>
      <c r="R17" s="40">
        <v>138</v>
      </c>
      <c r="T17" s="40">
        <v>368</v>
      </c>
      <c r="U17" s="40">
        <v>133</v>
      </c>
      <c r="W17" s="40">
        <v>392</v>
      </c>
      <c r="X17" s="40">
        <v>119</v>
      </c>
      <c r="Z17" s="40">
        <v>243</v>
      </c>
      <c r="AA17" s="40"/>
      <c r="AB17" s="40">
        <v>276</v>
      </c>
      <c r="AD17" s="40">
        <v>240</v>
      </c>
      <c r="AE17" s="40">
        <v>229</v>
      </c>
      <c r="AF17" s="40">
        <v>234</v>
      </c>
      <c r="AG17" s="40"/>
      <c r="AH17" s="40"/>
      <c r="AI17" s="40"/>
      <c r="AJ17" s="40">
        <v>274</v>
      </c>
      <c r="AK17" s="40">
        <v>267</v>
      </c>
      <c r="AL17" s="40">
        <v>252</v>
      </c>
      <c r="AN17" s="40">
        <v>178</v>
      </c>
      <c r="AO17" s="40">
        <v>207</v>
      </c>
      <c r="AP17" s="40">
        <v>138</v>
      </c>
      <c r="AQ17" s="40">
        <v>228</v>
      </c>
      <c r="AR17" s="40">
        <v>175</v>
      </c>
      <c r="AS17" s="40">
        <v>186</v>
      </c>
      <c r="AU17" s="40">
        <v>216</v>
      </c>
      <c r="AV17" s="40">
        <v>219</v>
      </c>
      <c r="AX17" s="40">
        <v>268</v>
      </c>
      <c r="AY17" s="40">
        <v>136</v>
      </c>
      <c r="BA17" s="40">
        <v>553</v>
      </c>
      <c r="BB17" s="233"/>
      <c r="BC17" s="233"/>
      <c r="BD17" s="233"/>
    </row>
    <row r="18" spans="1:56" ht="15.75" thickBot="1" x14ac:dyDescent="0.3"/>
    <row r="19" spans="1:56" ht="15.75" thickBot="1" x14ac:dyDescent="0.3">
      <c r="A19" s="50" t="s">
        <v>8</v>
      </c>
      <c r="B19" s="192"/>
      <c r="C19" s="51">
        <f t="shared" ref="C19" si="0">+SUM(C11:C17)</f>
        <v>2645</v>
      </c>
      <c r="D19" s="51">
        <f t="shared" ref="D19:R19" si="1">+SUM(D11:D17)</f>
        <v>886</v>
      </c>
      <c r="E19" s="51">
        <f t="shared" si="1"/>
        <v>18</v>
      </c>
      <c r="F19" s="51">
        <f t="shared" si="1"/>
        <v>14</v>
      </c>
      <c r="G19" s="51">
        <f t="shared" si="1"/>
        <v>2</v>
      </c>
      <c r="I19" s="51">
        <f t="shared" si="1"/>
        <v>2375</v>
      </c>
      <c r="J19" s="51">
        <f t="shared" si="1"/>
        <v>925</v>
      </c>
      <c r="L19" s="51">
        <f t="shared" si="1"/>
        <v>2529</v>
      </c>
      <c r="M19" s="51">
        <f t="shared" si="1"/>
        <v>2290</v>
      </c>
      <c r="N19" s="51">
        <f t="shared" si="1"/>
        <v>848</v>
      </c>
      <c r="O19" s="51">
        <f t="shared" si="1"/>
        <v>839</v>
      </c>
      <c r="Q19" s="51">
        <f t="shared" si="1"/>
        <v>2666</v>
      </c>
      <c r="R19" s="51">
        <f t="shared" si="1"/>
        <v>762</v>
      </c>
      <c r="T19" s="51">
        <f t="shared" ref="T19:AV19" si="2">+SUM(T11:T17)</f>
        <v>2538</v>
      </c>
      <c r="U19" s="51">
        <f t="shared" si="2"/>
        <v>729</v>
      </c>
      <c r="W19" s="51">
        <f t="shared" si="2"/>
        <v>2690</v>
      </c>
      <c r="X19" s="51">
        <f t="shared" si="2"/>
        <v>680</v>
      </c>
      <c r="Z19" s="51">
        <f t="shared" si="2"/>
        <v>1574</v>
      </c>
      <c r="AA19" s="51">
        <f t="shared" si="2"/>
        <v>0</v>
      </c>
      <c r="AB19" s="51">
        <f t="shared" si="2"/>
        <v>1771</v>
      </c>
      <c r="AD19" s="51">
        <f t="shared" si="2"/>
        <v>1602</v>
      </c>
      <c r="AE19" s="51">
        <f t="shared" si="2"/>
        <v>1501</v>
      </c>
      <c r="AF19" s="51">
        <f t="shared" ref="AF19:AK19" si="3">+SUM(AF11:AF17)</f>
        <v>1511</v>
      </c>
      <c r="AG19" s="51">
        <f t="shared" si="3"/>
        <v>0</v>
      </c>
      <c r="AH19" s="51">
        <f t="shared" si="3"/>
        <v>0</v>
      </c>
      <c r="AI19" s="51">
        <f t="shared" si="3"/>
        <v>0</v>
      </c>
      <c r="AJ19" s="51">
        <f t="shared" si="3"/>
        <v>1721</v>
      </c>
      <c r="AK19" s="51">
        <f t="shared" si="3"/>
        <v>1688</v>
      </c>
      <c r="AL19" s="51">
        <f t="shared" si="2"/>
        <v>1622</v>
      </c>
      <c r="AN19" s="51">
        <f t="shared" si="2"/>
        <v>1206</v>
      </c>
      <c r="AO19" s="51">
        <f t="shared" si="2"/>
        <v>1351</v>
      </c>
      <c r="AP19" s="51">
        <f t="shared" si="2"/>
        <v>982</v>
      </c>
      <c r="AQ19" s="51">
        <f t="shared" si="2"/>
        <v>1400</v>
      </c>
      <c r="AR19" s="51">
        <f t="shared" si="2"/>
        <v>1363</v>
      </c>
      <c r="AS19" s="51">
        <f t="shared" si="2"/>
        <v>1129</v>
      </c>
      <c r="AU19" s="51">
        <f t="shared" si="2"/>
        <v>1379</v>
      </c>
      <c r="AV19" s="51">
        <f t="shared" si="2"/>
        <v>1377</v>
      </c>
      <c r="AX19" s="51">
        <f t="shared" ref="AX19:AY19" si="4">+SUM(AX11:AX17)</f>
        <v>1732</v>
      </c>
      <c r="AY19" s="51">
        <f t="shared" si="4"/>
        <v>829</v>
      </c>
      <c r="BA19" s="51">
        <f t="shared" ref="BA19:BD19" si="5">+SUM(BA11:BA17)</f>
        <v>3614</v>
      </c>
      <c r="BB19" s="51">
        <f t="shared" si="5"/>
        <v>634</v>
      </c>
      <c r="BC19" s="51">
        <f t="shared" si="5"/>
        <v>807</v>
      </c>
      <c r="BD19" s="51">
        <f t="shared" si="5"/>
        <v>90</v>
      </c>
    </row>
    <row r="20" spans="1:56" x14ac:dyDescent="0.25">
      <c r="A20" s="92" t="s">
        <v>146</v>
      </c>
      <c r="B20" s="192"/>
      <c r="C20" s="53">
        <v>379</v>
      </c>
      <c r="D20" s="53">
        <v>235</v>
      </c>
      <c r="E20" s="53">
        <v>7</v>
      </c>
      <c r="F20" s="53">
        <v>1</v>
      </c>
      <c r="G20" s="53">
        <v>1</v>
      </c>
      <c r="H20" s="138"/>
      <c r="I20" s="53">
        <v>342</v>
      </c>
      <c r="J20" s="53">
        <v>244</v>
      </c>
      <c r="K20" s="138"/>
      <c r="L20" s="53">
        <v>392</v>
      </c>
      <c r="M20" s="53">
        <v>334</v>
      </c>
      <c r="N20" s="53">
        <v>207</v>
      </c>
      <c r="O20" s="53">
        <v>221</v>
      </c>
      <c r="P20" s="138"/>
      <c r="Q20" s="53">
        <v>412</v>
      </c>
      <c r="R20" s="53">
        <v>193</v>
      </c>
      <c r="S20" s="138"/>
      <c r="T20" s="53">
        <v>391</v>
      </c>
      <c r="U20" s="53">
        <v>187</v>
      </c>
      <c r="V20" s="138"/>
      <c r="W20" s="53">
        <v>418</v>
      </c>
      <c r="X20" s="53">
        <v>173</v>
      </c>
      <c r="Y20" s="138"/>
      <c r="Z20" s="53">
        <v>226</v>
      </c>
      <c r="AA20" s="53"/>
      <c r="AB20" s="53">
        <v>367</v>
      </c>
      <c r="AC20" s="138"/>
      <c r="AD20" s="53">
        <v>232</v>
      </c>
      <c r="AE20" s="53">
        <v>203</v>
      </c>
      <c r="AF20" s="53">
        <v>207</v>
      </c>
      <c r="AG20" s="53"/>
      <c r="AH20" s="53"/>
      <c r="AI20" s="53"/>
      <c r="AJ20" s="53">
        <v>367</v>
      </c>
      <c r="AK20" s="53">
        <v>361</v>
      </c>
      <c r="AL20" s="53">
        <v>338</v>
      </c>
      <c r="AM20" s="138"/>
      <c r="AN20" s="53">
        <v>272</v>
      </c>
      <c r="AO20" s="53">
        <v>261</v>
      </c>
      <c r="AP20" s="53">
        <v>180</v>
      </c>
      <c r="AQ20" s="53">
        <v>308</v>
      </c>
      <c r="AR20" s="53">
        <v>240</v>
      </c>
      <c r="AS20" s="53">
        <v>175</v>
      </c>
      <c r="AT20" s="138"/>
      <c r="AU20" s="53">
        <v>278</v>
      </c>
      <c r="AV20" s="53">
        <v>290</v>
      </c>
      <c r="AW20" s="138"/>
      <c r="AX20" s="53">
        <v>408</v>
      </c>
      <c r="AY20" s="53">
        <v>162</v>
      </c>
      <c r="BA20" s="93"/>
      <c r="BB20" s="93"/>
      <c r="BC20" s="93"/>
      <c r="BD20" s="93"/>
    </row>
    <row r="21" spans="1:56" x14ac:dyDescent="0.25">
      <c r="A21" s="92" t="s">
        <v>43</v>
      </c>
      <c r="B21" s="192"/>
      <c r="C21" s="41">
        <v>357</v>
      </c>
      <c r="D21" s="41">
        <v>432</v>
      </c>
      <c r="E21" s="41">
        <v>2</v>
      </c>
      <c r="F21" s="41">
        <v>7</v>
      </c>
      <c r="G21" s="41">
        <v>2</v>
      </c>
      <c r="H21" s="138"/>
      <c r="I21" s="41">
        <v>337</v>
      </c>
      <c r="J21" s="41">
        <v>427</v>
      </c>
      <c r="K21" s="138"/>
      <c r="L21" s="41">
        <v>398</v>
      </c>
      <c r="M21" s="41">
        <v>335</v>
      </c>
      <c r="N21" s="41">
        <v>377</v>
      </c>
      <c r="O21" s="41">
        <v>380</v>
      </c>
      <c r="P21" s="138"/>
      <c r="Q21" s="41">
        <v>422</v>
      </c>
      <c r="R21" s="41">
        <v>361</v>
      </c>
      <c r="S21" s="138"/>
      <c r="T21" s="41">
        <v>394</v>
      </c>
      <c r="U21" s="41">
        <v>356</v>
      </c>
      <c r="V21" s="138"/>
      <c r="W21" s="41">
        <v>467</v>
      </c>
      <c r="X21" s="41">
        <v>305</v>
      </c>
      <c r="Y21" s="138"/>
      <c r="Z21" s="41">
        <v>270</v>
      </c>
      <c r="AA21" s="41"/>
      <c r="AB21" s="41">
        <v>470</v>
      </c>
      <c r="AC21" s="138"/>
      <c r="AD21" s="41">
        <v>277</v>
      </c>
      <c r="AE21" s="41">
        <v>264</v>
      </c>
      <c r="AF21" s="41">
        <v>246</v>
      </c>
      <c r="AG21" s="41"/>
      <c r="AH21" s="41"/>
      <c r="AI21" s="41"/>
      <c r="AJ21" s="41">
        <v>470</v>
      </c>
      <c r="AK21" s="41">
        <v>465</v>
      </c>
      <c r="AL21" s="41">
        <v>448</v>
      </c>
      <c r="AM21" s="138"/>
      <c r="AN21" s="41">
        <v>330</v>
      </c>
      <c r="AO21" s="41">
        <v>316</v>
      </c>
      <c r="AP21" s="41">
        <v>213</v>
      </c>
      <c r="AQ21" s="41">
        <v>373</v>
      </c>
      <c r="AR21" s="41">
        <v>243</v>
      </c>
      <c r="AS21" s="41">
        <v>293</v>
      </c>
      <c r="AT21" s="138"/>
      <c r="AU21" s="41">
        <v>280</v>
      </c>
      <c r="AV21" s="41">
        <v>403</v>
      </c>
      <c r="AW21" s="138"/>
      <c r="AX21" s="41">
        <v>467</v>
      </c>
      <c r="AY21" s="41">
        <v>197</v>
      </c>
      <c r="BA21" s="93"/>
      <c r="BB21" s="93"/>
      <c r="BC21" s="93"/>
      <c r="BD21" s="93"/>
    </row>
    <row r="22" spans="1:56" x14ac:dyDescent="0.25">
      <c r="A22" s="94" t="s">
        <v>644</v>
      </c>
      <c r="B22" s="192"/>
      <c r="C22" s="95">
        <v>11</v>
      </c>
      <c r="D22" s="95">
        <v>10</v>
      </c>
      <c r="E22" s="95">
        <v>0</v>
      </c>
      <c r="F22" s="95">
        <v>0</v>
      </c>
      <c r="G22" s="95">
        <v>0</v>
      </c>
      <c r="H22" s="138"/>
      <c r="I22" s="95">
        <v>10</v>
      </c>
      <c r="J22" s="95">
        <v>11</v>
      </c>
      <c r="K22" s="138"/>
      <c r="L22" s="95">
        <v>11</v>
      </c>
      <c r="M22" s="95">
        <v>9</v>
      </c>
      <c r="N22" s="95">
        <v>10</v>
      </c>
      <c r="O22" s="95">
        <v>11</v>
      </c>
      <c r="P22" s="138"/>
      <c r="Q22" s="95">
        <v>12</v>
      </c>
      <c r="R22" s="95">
        <v>9</v>
      </c>
      <c r="S22" s="138"/>
      <c r="T22" s="95">
        <v>10</v>
      </c>
      <c r="U22" s="95">
        <v>10</v>
      </c>
      <c r="V22" s="138"/>
      <c r="W22" s="95">
        <v>11</v>
      </c>
      <c r="X22" s="95">
        <v>9</v>
      </c>
      <c r="Y22" s="138"/>
      <c r="Z22" s="95">
        <v>5</v>
      </c>
      <c r="AA22" s="95"/>
      <c r="AB22" s="95">
        <v>17</v>
      </c>
      <c r="AC22" s="138"/>
      <c r="AD22" s="95">
        <v>3</v>
      </c>
      <c r="AE22" s="95">
        <v>4</v>
      </c>
      <c r="AF22" s="95">
        <v>7</v>
      </c>
      <c r="AG22" s="95"/>
      <c r="AH22" s="95"/>
      <c r="AI22" s="95"/>
      <c r="AJ22" s="95">
        <v>18</v>
      </c>
      <c r="AK22" s="95">
        <v>17</v>
      </c>
      <c r="AL22" s="95">
        <v>15</v>
      </c>
      <c r="AM22" s="138"/>
      <c r="AN22" s="95">
        <v>10</v>
      </c>
      <c r="AO22" s="95">
        <v>14</v>
      </c>
      <c r="AP22" s="95">
        <v>5</v>
      </c>
      <c r="AQ22" s="95">
        <v>9</v>
      </c>
      <c r="AR22" s="95">
        <v>11</v>
      </c>
      <c r="AS22" s="95">
        <v>5</v>
      </c>
      <c r="AT22" s="138"/>
      <c r="AU22" s="95">
        <v>8</v>
      </c>
      <c r="AV22" s="95">
        <v>12</v>
      </c>
      <c r="AW22" s="138"/>
      <c r="AX22" s="95">
        <v>13</v>
      </c>
      <c r="AY22" s="95">
        <v>7</v>
      </c>
      <c r="BA22" s="93"/>
      <c r="BB22" s="93"/>
      <c r="BC22" s="93"/>
      <c r="BD22" s="93"/>
    </row>
    <row r="23" spans="1:56" x14ac:dyDescent="0.25">
      <c r="A23" s="94" t="s">
        <v>645</v>
      </c>
      <c r="B23" s="192"/>
      <c r="C23" s="95">
        <v>50</v>
      </c>
      <c r="D23" s="95">
        <v>14</v>
      </c>
      <c r="E23" s="95">
        <v>0</v>
      </c>
      <c r="F23" s="95">
        <v>0</v>
      </c>
      <c r="G23" s="95">
        <v>0</v>
      </c>
      <c r="H23" s="138"/>
      <c r="I23" s="95">
        <v>48</v>
      </c>
      <c r="J23" s="95">
        <v>15</v>
      </c>
      <c r="K23" s="138"/>
      <c r="L23" s="95">
        <v>49</v>
      </c>
      <c r="M23" s="95">
        <v>48</v>
      </c>
      <c r="N23" s="95">
        <v>13</v>
      </c>
      <c r="O23" s="95">
        <v>15</v>
      </c>
      <c r="P23" s="138"/>
      <c r="Q23" s="95">
        <v>50</v>
      </c>
      <c r="R23" s="95">
        <v>12</v>
      </c>
      <c r="S23" s="138"/>
      <c r="T23" s="95">
        <v>50</v>
      </c>
      <c r="U23" s="95">
        <v>12</v>
      </c>
      <c r="V23" s="138"/>
      <c r="W23" s="95">
        <v>49</v>
      </c>
      <c r="X23" s="95">
        <v>14</v>
      </c>
      <c r="Y23" s="138"/>
      <c r="Z23" s="95">
        <v>33</v>
      </c>
      <c r="AA23" s="95"/>
      <c r="AB23" s="95">
        <v>27</v>
      </c>
      <c r="AC23" s="138"/>
      <c r="AD23" s="95">
        <v>36</v>
      </c>
      <c r="AE23" s="95">
        <v>33</v>
      </c>
      <c r="AF23" s="95">
        <v>32</v>
      </c>
      <c r="AG23" s="95"/>
      <c r="AH23" s="95"/>
      <c r="AI23" s="95"/>
      <c r="AJ23" s="95">
        <v>26</v>
      </c>
      <c r="AK23" s="95">
        <v>26</v>
      </c>
      <c r="AL23" s="95">
        <v>27</v>
      </c>
      <c r="AM23" s="138"/>
      <c r="AN23" s="95">
        <v>22</v>
      </c>
      <c r="AO23" s="95">
        <v>23</v>
      </c>
      <c r="AP23" s="95">
        <v>15</v>
      </c>
      <c r="AQ23" s="95">
        <v>19</v>
      </c>
      <c r="AR23" s="95">
        <v>26</v>
      </c>
      <c r="AS23" s="95">
        <v>20</v>
      </c>
      <c r="AT23" s="138"/>
      <c r="AU23" s="95">
        <v>18</v>
      </c>
      <c r="AV23" s="95">
        <v>25</v>
      </c>
      <c r="AW23" s="138"/>
      <c r="AX23" s="95">
        <v>28</v>
      </c>
      <c r="AY23" s="95">
        <v>14</v>
      </c>
      <c r="BA23" s="93"/>
      <c r="BB23" s="93"/>
      <c r="BC23" s="93"/>
      <c r="BD23" s="93"/>
    </row>
    <row r="24" spans="1:56" ht="15.75" thickBot="1" x14ac:dyDescent="0.3">
      <c r="A24" s="94" t="s">
        <v>651</v>
      </c>
      <c r="B24" s="192"/>
      <c r="C24" s="95">
        <f>2</f>
        <v>2</v>
      </c>
      <c r="D24" s="95">
        <f>3</f>
        <v>3</v>
      </c>
      <c r="E24" s="95">
        <v>0</v>
      </c>
      <c r="F24" s="95">
        <v>0</v>
      </c>
      <c r="G24" s="95">
        <v>0</v>
      </c>
      <c r="H24" s="138"/>
      <c r="I24" s="95">
        <f>2</f>
        <v>2</v>
      </c>
      <c r="J24" s="95">
        <f>3</f>
        <v>3</v>
      </c>
      <c r="K24" s="138"/>
      <c r="L24" s="95">
        <f>2</f>
        <v>2</v>
      </c>
      <c r="M24" s="95">
        <f>2</f>
        <v>2</v>
      </c>
      <c r="N24" s="95">
        <f>3</f>
        <v>3</v>
      </c>
      <c r="O24" s="95">
        <f>3</f>
        <v>3</v>
      </c>
      <c r="P24" s="138"/>
      <c r="Q24" s="95">
        <f>2</f>
        <v>2</v>
      </c>
      <c r="R24" s="95">
        <f>3</f>
        <v>3</v>
      </c>
      <c r="S24" s="138"/>
      <c r="T24" s="95">
        <f>2</f>
        <v>2</v>
      </c>
      <c r="U24" s="95">
        <f>3</f>
        <v>3</v>
      </c>
      <c r="V24" s="138"/>
      <c r="W24" s="95">
        <f>2</f>
        <v>2</v>
      </c>
      <c r="X24" s="95">
        <f>3</f>
        <v>3</v>
      </c>
      <c r="Y24" s="138"/>
      <c r="Z24" s="95">
        <f>1</f>
        <v>1</v>
      </c>
      <c r="AA24" s="95"/>
      <c r="AB24" s="95">
        <f>3</f>
        <v>3</v>
      </c>
      <c r="AC24" s="138"/>
      <c r="AD24" s="95">
        <f>2</f>
        <v>2</v>
      </c>
      <c r="AE24" s="95">
        <f>3</f>
        <v>3</v>
      </c>
      <c r="AF24" s="95">
        <f>2</f>
        <v>2</v>
      </c>
      <c r="AG24" s="95"/>
      <c r="AH24" s="95"/>
      <c r="AI24" s="95"/>
      <c r="AJ24" s="95">
        <f>2</f>
        <v>2</v>
      </c>
      <c r="AK24" s="95">
        <f>2</f>
        <v>2</v>
      </c>
      <c r="AL24" s="95">
        <f>2</f>
        <v>2</v>
      </c>
      <c r="AM24" s="138"/>
      <c r="AN24" s="95">
        <f>2</f>
        <v>2</v>
      </c>
      <c r="AO24" s="95">
        <f>2</f>
        <v>2</v>
      </c>
      <c r="AP24" s="95">
        <v>0</v>
      </c>
      <c r="AQ24" s="95">
        <f>1</f>
        <v>1</v>
      </c>
      <c r="AR24" s="95">
        <f>3</f>
        <v>3</v>
      </c>
      <c r="AS24" s="95">
        <f>1</f>
        <v>1</v>
      </c>
      <c r="AT24" s="138"/>
      <c r="AU24" s="95">
        <f>0</f>
        <v>0</v>
      </c>
      <c r="AV24" s="95">
        <f>3</f>
        <v>3</v>
      </c>
      <c r="AW24" s="138"/>
      <c r="AX24" s="95">
        <f>0</f>
        <v>0</v>
      </c>
      <c r="AY24" s="95">
        <f>3</f>
        <v>3</v>
      </c>
      <c r="BA24" s="93"/>
      <c r="BB24" s="93"/>
      <c r="BC24" s="93"/>
      <c r="BD24" s="93"/>
    </row>
    <row r="25" spans="1:56" ht="15.75" thickBot="1" x14ac:dyDescent="0.3">
      <c r="A25" s="50" t="s">
        <v>45</v>
      </c>
      <c r="B25" s="192"/>
      <c r="C25" s="51">
        <f>+SUM(C19:C24)</f>
        <v>3444</v>
      </c>
      <c r="D25" s="51">
        <f t="shared" ref="D25:G25" si="6">+SUM(D19:D24)</f>
        <v>1580</v>
      </c>
      <c r="E25" s="51">
        <f t="shared" si="6"/>
        <v>27</v>
      </c>
      <c r="F25" s="51">
        <f t="shared" si="6"/>
        <v>22</v>
      </c>
      <c r="G25" s="51">
        <f t="shared" si="6"/>
        <v>5</v>
      </c>
      <c r="I25" s="51">
        <f t="shared" ref="I25:J25" si="7">+SUM(I19:I24)</f>
        <v>3114</v>
      </c>
      <c r="J25" s="51">
        <f t="shared" si="7"/>
        <v>1625</v>
      </c>
      <c r="L25" s="51">
        <f t="shared" ref="L25:O25" si="8">+SUM(L19:L24)</f>
        <v>3381</v>
      </c>
      <c r="M25" s="51">
        <f t="shared" si="8"/>
        <v>3018</v>
      </c>
      <c r="N25" s="51">
        <f t="shared" si="8"/>
        <v>1458</v>
      </c>
      <c r="O25" s="51">
        <f t="shared" si="8"/>
        <v>1469</v>
      </c>
      <c r="Q25" s="51">
        <f t="shared" ref="Q25:R25" si="9">+SUM(Q19:Q24)</f>
        <v>3564</v>
      </c>
      <c r="R25" s="51">
        <f t="shared" si="9"/>
        <v>1340</v>
      </c>
      <c r="T25" s="51">
        <f t="shared" ref="T25:U25" si="10">+SUM(T19:T24)</f>
        <v>3385</v>
      </c>
      <c r="U25" s="51">
        <f t="shared" si="10"/>
        <v>1297</v>
      </c>
      <c r="W25" s="51">
        <f t="shared" ref="W25:X25" si="11">+SUM(W19:W24)</f>
        <v>3637</v>
      </c>
      <c r="X25" s="51">
        <f t="shared" si="11"/>
        <v>1184</v>
      </c>
      <c r="Z25" s="51">
        <f t="shared" ref="Z25:AB25" si="12">+SUM(Z19:Z24)</f>
        <v>2109</v>
      </c>
      <c r="AA25" s="51">
        <f t="shared" si="12"/>
        <v>0</v>
      </c>
      <c r="AB25" s="51">
        <f t="shared" si="12"/>
        <v>2655</v>
      </c>
      <c r="AD25" s="51">
        <f t="shared" ref="AD25:AL25" si="13">+SUM(AD19:AD24)</f>
        <v>2152</v>
      </c>
      <c r="AE25" s="51">
        <f t="shared" si="13"/>
        <v>2008</v>
      </c>
      <c r="AF25" s="51">
        <f t="shared" si="13"/>
        <v>2005</v>
      </c>
      <c r="AG25" s="51">
        <f t="shared" si="13"/>
        <v>0</v>
      </c>
      <c r="AH25" s="51">
        <f t="shared" si="13"/>
        <v>0</v>
      </c>
      <c r="AI25" s="51">
        <f t="shared" si="13"/>
        <v>0</v>
      </c>
      <c r="AJ25" s="51">
        <f t="shared" si="13"/>
        <v>2604</v>
      </c>
      <c r="AK25" s="51">
        <f t="shared" si="13"/>
        <v>2559</v>
      </c>
      <c r="AL25" s="51">
        <f t="shared" si="13"/>
        <v>2452</v>
      </c>
      <c r="AN25" s="51">
        <f t="shared" ref="AN25:AS25" si="14">+SUM(AN19:AN24)</f>
        <v>1842</v>
      </c>
      <c r="AO25" s="51">
        <f t="shared" si="14"/>
        <v>1967</v>
      </c>
      <c r="AP25" s="51">
        <f t="shared" si="14"/>
        <v>1395</v>
      </c>
      <c r="AQ25" s="51">
        <f t="shared" si="14"/>
        <v>2110</v>
      </c>
      <c r="AR25" s="51">
        <f t="shared" si="14"/>
        <v>1886</v>
      </c>
      <c r="AS25" s="51">
        <f t="shared" si="14"/>
        <v>1623</v>
      </c>
      <c r="AU25" s="51">
        <f t="shared" ref="AU25:AV25" si="15">+SUM(AU19:AU24)</f>
        <v>1963</v>
      </c>
      <c r="AV25" s="51">
        <f t="shared" si="15"/>
        <v>2110</v>
      </c>
      <c r="AX25" s="51">
        <f t="shared" ref="AX25:AY25" si="16">+SUM(AX19:AX24)</f>
        <v>2648</v>
      </c>
      <c r="AY25" s="51">
        <f t="shared" si="16"/>
        <v>1212</v>
      </c>
      <c r="BA25" s="96"/>
      <c r="BB25" s="96"/>
      <c r="BC25" s="96"/>
      <c r="BD25" s="96"/>
    </row>
  </sheetData>
  <mergeCells count="21">
    <mergeCell ref="Z3:AB3"/>
    <mergeCell ref="AD3:AL3"/>
    <mergeCell ref="C2:G2"/>
    <mergeCell ref="C3:G3"/>
    <mergeCell ref="Q3:R3"/>
    <mergeCell ref="T3:U3"/>
    <mergeCell ref="W3:X3"/>
    <mergeCell ref="I2:O2"/>
    <mergeCell ref="I3:J3"/>
    <mergeCell ref="L3:O3"/>
    <mergeCell ref="BC11:BC17"/>
    <mergeCell ref="BB11:BB17"/>
    <mergeCell ref="BA2:BD3"/>
    <mergeCell ref="AN3:AS3"/>
    <mergeCell ref="AU3:AV3"/>
    <mergeCell ref="AX3:AY3"/>
    <mergeCell ref="AU6:AU8"/>
    <mergeCell ref="AV6:AV8"/>
    <mergeCell ref="AX6:AX8"/>
    <mergeCell ref="AY6:AY8"/>
    <mergeCell ref="BD11:BD17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3" manualBreakCount="3">
    <brk id="15" max="1048575" man="1"/>
    <brk id="28" max="1048575" man="1"/>
    <brk id="4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3"/>
  <sheetViews>
    <sheetView zoomScale="75" zoomScaleNormal="75" workbookViewId="0">
      <pane xSplit="1" ySplit="10" topLeftCell="B11" activePane="bottomRight" state="frozen"/>
      <selection activeCell="F57" sqref="F57"/>
      <selection pane="topRight" activeCell="F57" sqref="F57"/>
      <selection pane="bottomLeft" activeCell="F57" sqref="F57"/>
      <selection pane="bottomRight"/>
    </sheetView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7" width="14" style="191" customWidth="1"/>
    <col min="28" max="28" width="1.7109375" style="191" customWidth="1"/>
    <col min="29" max="30" width="14" style="191" customWidth="1"/>
    <col min="31" max="31" width="1.7109375" style="191" customWidth="1"/>
    <col min="32" max="33" width="14" style="191" customWidth="1"/>
    <col min="34" max="34" width="1.7109375" style="191" customWidth="1"/>
    <col min="35" max="36" width="14" style="191" customWidth="1"/>
    <col min="37" max="37" width="1.7109375" style="191" customWidth="1"/>
    <col min="38" max="38" width="18.42578125" style="191" customWidth="1"/>
    <col min="39" max="39" width="1.7109375" style="191" customWidth="1"/>
    <col min="40" max="43" width="11.85546875" style="191" customWidth="1"/>
    <col min="44" max="44" width="1.7109375" style="191" customWidth="1"/>
    <col min="45" max="46" width="10.7109375" style="191" customWidth="1"/>
    <col min="47" max="47" width="1.7109375" style="191" customWidth="1"/>
    <col min="48" max="49" width="9.7109375" style="191" customWidth="1"/>
    <col min="50" max="50" width="1.7109375" style="191" customWidth="1"/>
    <col min="51" max="52" width="9.7109375" style="191" customWidth="1"/>
    <col min="53" max="53" width="1.7109375" style="191" customWidth="1"/>
    <col min="54" max="54" width="11.85546875" style="191" customWidth="1"/>
    <col min="55" max="56" width="9.5703125" style="191" customWidth="1"/>
    <col min="57" max="75" width="13.42578125" style="191" customWidth="1"/>
    <col min="76" max="16384" width="9.140625" style="191"/>
  </cols>
  <sheetData>
    <row r="1" spans="1:57" x14ac:dyDescent="0.25">
      <c r="AC1" s="87"/>
      <c r="AD1" s="87"/>
      <c r="AE1" s="87"/>
      <c r="AF1" s="87"/>
      <c r="AG1" s="87"/>
      <c r="AH1" s="87"/>
      <c r="AI1" s="224" t="s">
        <v>147</v>
      </c>
      <c r="AJ1" s="226"/>
      <c r="AL1" s="177" t="s">
        <v>453</v>
      </c>
      <c r="AN1" s="132"/>
      <c r="AO1" s="132"/>
      <c r="AP1" s="132"/>
      <c r="AQ1" s="132"/>
      <c r="AR1" s="132"/>
      <c r="AS1" s="224" t="s">
        <v>357</v>
      </c>
      <c r="AT1" s="226"/>
    </row>
    <row r="2" spans="1:57" x14ac:dyDescent="0.25">
      <c r="C2" s="224"/>
      <c r="D2" s="225"/>
      <c r="E2" s="225"/>
      <c r="F2" s="225"/>
      <c r="G2" s="226"/>
      <c r="H2" s="132"/>
      <c r="I2" s="224" t="s">
        <v>2</v>
      </c>
      <c r="J2" s="225"/>
      <c r="K2" s="225"/>
      <c r="L2" s="225"/>
      <c r="M2" s="225"/>
      <c r="N2" s="225"/>
      <c r="O2" s="226"/>
      <c r="P2" s="132"/>
      <c r="Q2" s="80"/>
      <c r="R2" s="81"/>
      <c r="S2" s="132"/>
      <c r="T2" s="80"/>
      <c r="U2" s="81"/>
      <c r="V2" s="132"/>
      <c r="W2" s="112"/>
      <c r="X2" s="113"/>
      <c r="Y2" s="132"/>
      <c r="Z2" s="145"/>
      <c r="AA2" s="146"/>
      <c r="AC2" s="224" t="s">
        <v>147</v>
      </c>
      <c r="AD2" s="226"/>
      <c r="AE2" s="87"/>
      <c r="AF2" s="224" t="s">
        <v>147</v>
      </c>
      <c r="AG2" s="226"/>
      <c r="AH2" s="87"/>
      <c r="AI2" s="222" t="s">
        <v>150</v>
      </c>
      <c r="AJ2" s="223"/>
      <c r="AK2" s="132"/>
      <c r="AL2" s="178" t="s">
        <v>488</v>
      </c>
      <c r="AM2" s="132"/>
      <c r="AN2" s="244"/>
      <c r="AO2" s="245"/>
      <c r="AP2" s="245"/>
      <c r="AQ2" s="246"/>
      <c r="AR2" s="132"/>
      <c r="AS2" s="222" t="s">
        <v>151</v>
      </c>
      <c r="AT2" s="223"/>
      <c r="AU2" s="132"/>
      <c r="AV2" s="80"/>
      <c r="AW2" s="81"/>
      <c r="AX2" s="9"/>
      <c r="AY2" s="80"/>
      <c r="AZ2" s="81"/>
      <c r="BB2" s="234" t="s">
        <v>5</v>
      </c>
      <c r="BC2" s="235"/>
      <c r="BD2" s="235"/>
      <c r="BE2" s="236"/>
    </row>
    <row r="3" spans="1:57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150"/>
      <c r="L3" s="227" t="s">
        <v>0</v>
      </c>
      <c r="M3" s="227"/>
      <c r="N3" s="227"/>
      <c r="O3" s="223"/>
      <c r="P3" s="132"/>
      <c r="Q3" s="222" t="s">
        <v>121</v>
      </c>
      <c r="R3" s="223"/>
      <c r="S3" s="132"/>
      <c r="T3" s="222" t="s">
        <v>122</v>
      </c>
      <c r="U3" s="223"/>
      <c r="V3" s="132"/>
      <c r="W3" s="222" t="s">
        <v>123</v>
      </c>
      <c r="X3" s="223"/>
      <c r="Y3" s="132"/>
      <c r="Z3" s="222" t="s">
        <v>188</v>
      </c>
      <c r="AA3" s="223"/>
      <c r="AC3" s="222" t="s">
        <v>149</v>
      </c>
      <c r="AD3" s="223"/>
      <c r="AE3" s="87"/>
      <c r="AF3" s="222" t="s">
        <v>150</v>
      </c>
      <c r="AG3" s="223"/>
      <c r="AH3" s="87"/>
      <c r="AI3" s="222" t="s">
        <v>356</v>
      </c>
      <c r="AJ3" s="223"/>
      <c r="AK3" s="132"/>
      <c r="AL3" s="178" t="s">
        <v>151</v>
      </c>
      <c r="AM3" s="132"/>
      <c r="AN3" s="222" t="s">
        <v>240</v>
      </c>
      <c r="AO3" s="227"/>
      <c r="AP3" s="227"/>
      <c r="AQ3" s="223"/>
      <c r="AR3" s="132"/>
      <c r="AS3" s="222" t="s">
        <v>259</v>
      </c>
      <c r="AT3" s="223"/>
      <c r="AU3" s="132"/>
      <c r="AV3" s="222" t="s">
        <v>126</v>
      </c>
      <c r="AW3" s="223"/>
      <c r="AX3" s="9"/>
      <c r="AY3" s="222" t="s">
        <v>127</v>
      </c>
      <c r="AZ3" s="223"/>
      <c r="BB3" s="219"/>
      <c r="BC3" s="220"/>
      <c r="BD3" s="220"/>
      <c r="BE3" s="221"/>
    </row>
    <row r="4" spans="1:57" ht="5.0999999999999996" customHeight="1" thickBot="1" x14ac:dyDescent="0.3">
      <c r="C4" s="115"/>
      <c r="D4" s="117"/>
      <c r="E4" s="117"/>
      <c r="F4" s="117"/>
      <c r="G4" s="116"/>
      <c r="H4" s="132"/>
      <c r="I4" s="115"/>
      <c r="J4" s="117"/>
      <c r="K4" s="150"/>
      <c r="L4" s="68"/>
      <c r="M4" s="68"/>
      <c r="N4" s="68"/>
      <c r="O4" s="69"/>
      <c r="P4" s="132"/>
      <c r="Q4" s="82"/>
      <c r="R4" s="83"/>
      <c r="S4" s="132"/>
      <c r="T4" s="82"/>
      <c r="U4" s="83"/>
      <c r="V4" s="132"/>
      <c r="W4" s="114"/>
      <c r="X4" s="74"/>
      <c r="Y4" s="132"/>
      <c r="Z4" s="99"/>
      <c r="AA4" s="69"/>
      <c r="AC4" s="99"/>
      <c r="AD4" s="69"/>
      <c r="AF4" s="99"/>
      <c r="AG4" s="69"/>
      <c r="AI4" s="99"/>
      <c r="AJ4" s="69"/>
      <c r="AK4" s="132"/>
      <c r="AL4" s="200"/>
      <c r="AM4" s="132"/>
      <c r="AN4" s="99"/>
      <c r="AO4" s="68"/>
      <c r="AP4" s="68"/>
      <c r="AQ4" s="69"/>
      <c r="AR4" s="132"/>
      <c r="AS4" s="99"/>
      <c r="AT4" s="69"/>
      <c r="AU4" s="132"/>
      <c r="AV4" s="75"/>
      <c r="AW4" s="74"/>
      <c r="AX4" s="9"/>
      <c r="AY4" s="75"/>
      <c r="AZ4" s="74"/>
      <c r="BB4" s="204"/>
      <c r="BC4" s="205"/>
      <c r="BD4" s="205"/>
      <c r="BE4" s="206"/>
    </row>
    <row r="5" spans="1:57" x14ac:dyDescent="0.25">
      <c r="C5" s="5"/>
      <c r="D5" s="8"/>
      <c r="E5" s="8"/>
      <c r="F5" s="8"/>
      <c r="G5" s="6"/>
      <c r="H5" s="132"/>
      <c r="I5" s="5"/>
      <c r="J5" s="6"/>
      <c r="K5" s="132"/>
      <c r="L5" s="89"/>
      <c r="M5" s="98"/>
      <c r="N5" s="98"/>
      <c r="O5" s="6"/>
      <c r="P5" s="132"/>
      <c r="Q5" s="5"/>
      <c r="R5" s="6"/>
      <c r="S5" s="132"/>
      <c r="T5" s="5"/>
      <c r="U5" s="6"/>
      <c r="V5" s="132"/>
      <c r="W5" s="10"/>
      <c r="X5" s="97"/>
      <c r="Y5" s="132"/>
      <c r="Z5" s="194"/>
      <c r="AA5" s="195"/>
      <c r="AC5" s="194"/>
      <c r="AD5" s="195"/>
      <c r="AF5" s="194"/>
      <c r="AG5" s="195"/>
      <c r="AI5" s="194"/>
      <c r="AJ5" s="195"/>
      <c r="AK5" s="132"/>
      <c r="AL5" s="197"/>
      <c r="AM5" s="132"/>
      <c r="AN5" s="194"/>
      <c r="AO5" s="196"/>
      <c r="AP5" s="196"/>
      <c r="AQ5" s="195"/>
      <c r="AR5" s="132"/>
      <c r="AS5" s="194"/>
      <c r="AT5" s="195"/>
      <c r="AU5" s="132"/>
      <c r="AV5" s="10"/>
      <c r="AW5" s="12"/>
      <c r="AX5" s="9"/>
      <c r="AY5" s="10"/>
      <c r="AZ5" s="12"/>
      <c r="BB5" s="157"/>
      <c r="BC5" s="158"/>
      <c r="BD5" s="158"/>
      <c r="BE5" s="159"/>
    </row>
    <row r="6" spans="1:57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20" t="str">
        <f>+'Lead Sheet'!S6</f>
        <v>Vince</v>
      </c>
      <c r="J6" s="21" t="str">
        <f>+'Lead Sheet'!T6</f>
        <v>Vince</v>
      </c>
      <c r="K6" s="132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132"/>
      <c r="Q6" s="20" t="str">
        <f>+'Lead Sheet'!AR6</f>
        <v>Joseph J.</v>
      </c>
      <c r="R6" s="21" t="str">
        <f>+'Lead Sheet'!AS6</f>
        <v>Lisa</v>
      </c>
      <c r="S6" s="132"/>
      <c r="T6" s="20" t="str">
        <f>+'Lead Sheet'!AU6</f>
        <v>Frank X.</v>
      </c>
      <c r="U6" s="21" t="str">
        <f>+'Lead Sheet'!AV6</f>
        <v>Celeste</v>
      </c>
      <c r="V6" s="132"/>
      <c r="W6" s="20" t="str">
        <f>+'Lead Sheet'!AX6</f>
        <v>Maureen</v>
      </c>
      <c r="X6" s="21" t="str">
        <f>+'Lead Sheet'!AY6</f>
        <v>Jelani</v>
      </c>
      <c r="Y6" s="132"/>
      <c r="Z6" s="20" t="s">
        <v>494</v>
      </c>
      <c r="AA6" s="21" t="s">
        <v>183</v>
      </c>
      <c r="AC6" s="20" t="s">
        <v>496</v>
      </c>
      <c r="AD6" s="21" t="s">
        <v>183</v>
      </c>
      <c r="AF6" s="20" t="s">
        <v>498</v>
      </c>
      <c r="AG6" s="21" t="s">
        <v>183</v>
      </c>
      <c r="AI6" s="20" t="s">
        <v>500</v>
      </c>
      <c r="AJ6" s="21" t="s">
        <v>183</v>
      </c>
      <c r="AK6" s="132"/>
      <c r="AL6" s="193" t="s">
        <v>502</v>
      </c>
      <c r="AM6" s="9"/>
      <c r="AN6" s="20" t="s">
        <v>504</v>
      </c>
      <c r="AO6" s="7" t="s">
        <v>506</v>
      </c>
      <c r="AP6" s="7" t="s">
        <v>434</v>
      </c>
      <c r="AQ6" s="21" t="s">
        <v>509</v>
      </c>
      <c r="AR6" s="9"/>
      <c r="AS6" s="20" t="s">
        <v>511</v>
      </c>
      <c r="AT6" s="21" t="s">
        <v>119</v>
      </c>
      <c r="AU6" s="9"/>
      <c r="AV6" s="229" t="s">
        <v>9</v>
      </c>
      <c r="AW6" s="230" t="s">
        <v>10</v>
      </c>
      <c r="AX6" s="9"/>
      <c r="AY6" s="229" t="s">
        <v>9</v>
      </c>
      <c r="AZ6" s="230" t="s">
        <v>10</v>
      </c>
      <c r="BB6" s="160" t="s">
        <v>8</v>
      </c>
      <c r="BC6" s="161" t="s">
        <v>8</v>
      </c>
      <c r="BD6" s="161" t="s">
        <v>8</v>
      </c>
      <c r="BE6" s="162" t="s">
        <v>8</v>
      </c>
    </row>
    <row r="7" spans="1:57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20" t="str">
        <f>+'Lead Sheet'!S7</f>
        <v>POLISTINA</v>
      </c>
      <c r="J7" s="21" t="str">
        <f>+'Lead Sheet'!T7</f>
        <v>MAZZEO</v>
      </c>
      <c r="K7" s="132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132"/>
      <c r="Q7" s="20" t="str">
        <f>+'Lead Sheet'!AR7</f>
        <v>GIRALO</v>
      </c>
      <c r="R7" s="21" t="str">
        <f>+'Lead Sheet'!AS7</f>
        <v>JIAMPETTI</v>
      </c>
      <c r="S7" s="132"/>
      <c r="T7" s="20" t="str">
        <f>+'Lead Sheet'!AU7</f>
        <v>BALLES</v>
      </c>
      <c r="U7" s="21" t="str">
        <f>+'Lead Sheet'!AV7</f>
        <v>FERNANDEZ</v>
      </c>
      <c r="V7" s="132"/>
      <c r="W7" s="20" t="str">
        <f>+'Lead Sheet'!AX7</f>
        <v>KERN</v>
      </c>
      <c r="X7" s="21" t="str">
        <f>+'Lead Sheet'!AY7</f>
        <v>GANDY</v>
      </c>
      <c r="Y7" s="132"/>
      <c r="Z7" s="20" t="s">
        <v>495</v>
      </c>
      <c r="AA7" s="21" t="s">
        <v>159</v>
      </c>
      <c r="AC7" s="20" t="s">
        <v>497</v>
      </c>
      <c r="AD7" s="21" t="s">
        <v>159</v>
      </c>
      <c r="AF7" s="20" t="s">
        <v>499</v>
      </c>
      <c r="AG7" s="21" t="s">
        <v>159</v>
      </c>
      <c r="AI7" s="20" t="s">
        <v>501</v>
      </c>
      <c r="AJ7" s="21" t="s">
        <v>159</v>
      </c>
      <c r="AK7" s="132"/>
      <c r="AL7" s="193" t="s">
        <v>503</v>
      </c>
      <c r="AM7" s="132"/>
      <c r="AN7" s="20" t="s">
        <v>505</v>
      </c>
      <c r="AO7" s="7" t="s">
        <v>507</v>
      </c>
      <c r="AP7" s="7" t="s">
        <v>508</v>
      </c>
      <c r="AQ7" s="21" t="s">
        <v>510</v>
      </c>
      <c r="AR7" s="132"/>
      <c r="AS7" s="20" t="s">
        <v>512</v>
      </c>
      <c r="AT7" s="21" t="s">
        <v>513</v>
      </c>
      <c r="AU7" s="132"/>
      <c r="AV7" s="229"/>
      <c r="AW7" s="230"/>
      <c r="AX7" s="9"/>
      <c r="AY7" s="229"/>
      <c r="AZ7" s="230"/>
      <c r="BB7" s="160" t="s">
        <v>12</v>
      </c>
      <c r="BC7" s="161" t="s">
        <v>144</v>
      </c>
      <c r="BD7" s="161" t="s">
        <v>13</v>
      </c>
      <c r="BE7" s="162" t="s">
        <v>14</v>
      </c>
    </row>
    <row r="8" spans="1:57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20" t="str">
        <f>+'Lead Sheet'!S8</f>
        <v>Republican</v>
      </c>
      <c r="J8" s="21" t="str">
        <f>+'Lead Sheet'!T8</f>
        <v>Democrat</v>
      </c>
      <c r="K8" s="132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132"/>
      <c r="Q8" s="20" t="str">
        <f>+'Lead Sheet'!AR8</f>
        <v>Republican</v>
      </c>
      <c r="R8" s="21" t="str">
        <f>+'Lead Sheet'!AS8</f>
        <v>Democrat</v>
      </c>
      <c r="S8" s="132"/>
      <c r="T8" s="20" t="str">
        <f>+'Lead Sheet'!AU8</f>
        <v>Republican</v>
      </c>
      <c r="U8" s="21" t="str">
        <f>+'Lead Sheet'!AV8</f>
        <v>Democrat</v>
      </c>
      <c r="V8" s="132"/>
      <c r="W8" s="20" t="str">
        <f>+'Lead Sheet'!AX8</f>
        <v>Republican</v>
      </c>
      <c r="X8" s="21" t="str">
        <f>+'Lead Sheet'!AY8</f>
        <v>Democrat</v>
      </c>
      <c r="Y8" s="132"/>
      <c r="Z8" s="20" t="s">
        <v>16</v>
      </c>
      <c r="AA8" s="21" t="s">
        <v>59</v>
      </c>
      <c r="AC8" s="20" t="s">
        <v>16</v>
      </c>
      <c r="AD8" s="21" t="s">
        <v>59</v>
      </c>
      <c r="AF8" s="20" t="s">
        <v>16</v>
      </c>
      <c r="AG8" s="21" t="s">
        <v>59</v>
      </c>
      <c r="AI8" s="20" t="s">
        <v>16</v>
      </c>
      <c r="AJ8" s="21" t="s">
        <v>59</v>
      </c>
      <c r="AK8" s="132"/>
      <c r="AL8" s="193"/>
      <c r="AM8" s="132"/>
      <c r="AN8" s="20"/>
      <c r="AO8" s="7"/>
      <c r="AP8" s="7"/>
      <c r="AQ8" s="21"/>
      <c r="AR8" s="132"/>
      <c r="AS8" s="20"/>
      <c r="AT8" s="21"/>
      <c r="AU8" s="132"/>
      <c r="AV8" s="229"/>
      <c r="AW8" s="230"/>
      <c r="AX8" s="9"/>
      <c r="AY8" s="229"/>
      <c r="AZ8" s="230"/>
      <c r="BB8" s="160" t="s">
        <v>18</v>
      </c>
      <c r="BC8" s="161" t="s">
        <v>145</v>
      </c>
      <c r="BD8" s="161" t="s">
        <v>19</v>
      </c>
      <c r="BE8" s="162" t="s">
        <v>18</v>
      </c>
    </row>
    <row r="9" spans="1:57" x14ac:dyDescent="0.25">
      <c r="C9" s="60"/>
      <c r="D9" s="31"/>
      <c r="E9" s="31"/>
      <c r="F9" s="31"/>
      <c r="G9" s="61" t="str">
        <f>+'Lead Sheet'!G9</f>
        <v>Party</v>
      </c>
      <c r="H9" s="132"/>
      <c r="I9" s="20"/>
      <c r="J9" s="21"/>
      <c r="K9" s="132"/>
      <c r="L9" s="20"/>
      <c r="M9" s="7"/>
      <c r="N9" s="7"/>
      <c r="O9" s="21"/>
      <c r="P9" s="132"/>
      <c r="Q9" s="20"/>
      <c r="R9" s="21"/>
      <c r="S9" s="132"/>
      <c r="T9" s="20"/>
      <c r="U9" s="21"/>
      <c r="V9" s="132"/>
      <c r="W9" s="20"/>
      <c r="X9" s="21"/>
      <c r="Y9" s="132"/>
      <c r="Z9" s="20"/>
      <c r="AA9" s="21"/>
      <c r="AC9" s="20"/>
      <c r="AD9" s="21"/>
      <c r="AF9" s="20"/>
      <c r="AG9" s="21"/>
      <c r="AI9" s="20"/>
      <c r="AJ9" s="21"/>
      <c r="AK9" s="132"/>
      <c r="AL9" s="193"/>
      <c r="AM9" s="132"/>
      <c r="AN9" s="20"/>
      <c r="AO9" s="7"/>
      <c r="AP9" s="7"/>
      <c r="AQ9" s="21"/>
      <c r="AR9" s="132"/>
      <c r="AS9" s="20"/>
      <c r="AT9" s="21"/>
      <c r="AU9" s="132"/>
      <c r="AV9" s="27"/>
      <c r="AW9" s="28"/>
      <c r="AX9" s="9"/>
      <c r="AY9" s="27"/>
      <c r="AZ9" s="28"/>
      <c r="BB9" s="164"/>
      <c r="BC9" s="163"/>
      <c r="BD9" s="163"/>
      <c r="BE9" s="165"/>
    </row>
    <row r="10" spans="1:57" ht="4.5" customHeight="1" thickBot="1" x14ac:dyDescent="0.3">
      <c r="C10" s="29"/>
      <c r="D10" s="32"/>
      <c r="E10" s="32"/>
      <c r="F10" s="32"/>
      <c r="G10" s="30"/>
      <c r="H10" s="132"/>
      <c r="I10" s="33"/>
      <c r="J10" s="35"/>
      <c r="K10" s="132"/>
      <c r="L10" s="33"/>
      <c r="M10" s="34"/>
      <c r="N10" s="34"/>
      <c r="O10" s="35"/>
      <c r="P10" s="132"/>
      <c r="Q10" s="33"/>
      <c r="R10" s="35"/>
      <c r="S10" s="132"/>
      <c r="T10" s="33"/>
      <c r="U10" s="35"/>
      <c r="V10" s="132"/>
      <c r="W10" s="33"/>
      <c r="X10" s="35"/>
      <c r="Y10" s="132"/>
      <c r="Z10" s="33"/>
      <c r="AA10" s="35"/>
      <c r="AC10" s="33"/>
      <c r="AD10" s="35"/>
      <c r="AF10" s="33"/>
      <c r="AG10" s="35"/>
      <c r="AI10" s="33"/>
      <c r="AJ10" s="35"/>
      <c r="AK10" s="132"/>
      <c r="AL10" s="199"/>
      <c r="AM10" s="132"/>
      <c r="AN10" s="33"/>
      <c r="AO10" s="34"/>
      <c r="AP10" s="34"/>
      <c r="AQ10" s="35"/>
      <c r="AR10" s="132"/>
      <c r="AS10" s="33"/>
      <c r="AT10" s="35"/>
      <c r="AU10" s="132"/>
      <c r="AV10" s="36"/>
      <c r="AW10" s="38"/>
      <c r="AX10" s="9"/>
      <c r="AY10" s="36"/>
      <c r="AZ10" s="38"/>
      <c r="BB10" s="166"/>
      <c r="BC10" s="167"/>
      <c r="BD10" s="167"/>
      <c r="BE10" s="168"/>
    </row>
    <row r="11" spans="1:57" x14ac:dyDescent="0.25">
      <c r="A11" s="191" t="s">
        <v>489</v>
      </c>
      <c r="C11" s="59">
        <v>403</v>
      </c>
      <c r="D11" s="59">
        <v>226</v>
      </c>
      <c r="E11" s="59">
        <v>1</v>
      </c>
      <c r="F11" s="59">
        <v>3</v>
      </c>
      <c r="G11" s="59">
        <v>0</v>
      </c>
      <c r="I11" s="59">
        <v>388</v>
      </c>
      <c r="J11" s="59">
        <v>245</v>
      </c>
      <c r="L11" s="59">
        <v>413</v>
      </c>
      <c r="M11" s="59">
        <v>409</v>
      </c>
      <c r="N11" s="59">
        <v>211</v>
      </c>
      <c r="O11" s="59">
        <v>208</v>
      </c>
      <c r="Q11" s="59">
        <v>388</v>
      </c>
      <c r="R11" s="59">
        <v>232</v>
      </c>
      <c r="T11" s="59">
        <v>435</v>
      </c>
      <c r="U11" s="59">
        <v>193</v>
      </c>
      <c r="W11" s="59">
        <v>390</v>
      </c>
      <c r="X11" s="59">
        <v>232</v>
      </c>
      <c r="Z11" s="59">
        <v>472</v>
      </c>
      <c r="AA11" s="59"/>
      <c r="AC11" s="59">
        <v>472</v>
      </c>
      <c r="AD11" s="59"/>
      <c r="AF11" s="59"/>
      <c r="AG11" s="59"/>
      <c r="AI11" s="59"/>
      <c r="AJ11" s="59"/>
      <c r="AL11" s="59">
        <v>442</v>
      </c>
      <c r="AN11" s="59">
        <v>303</v>
      </c>
      <c r="AO11" s="59">
        <v>309</v>
      </c>
      <c r="AP11" s="59">
        <v>274</v>
      </c>
      <c r="AQ11" s="59">
        <v>271</v>
      </c>
      <c r="AS11" s="59">
        <v>212</v>
      </c>
      <c r="AT11" s="59">
        <v>208</v>
      </c>
      <c r="AV11" s="59">
        <v>297</v>
      </c>
      <c r="AW11" s="59">
        <v>255</v>
      </c>
      <c r="AY11" s="59">
        <v>360</v>
      </c>
      <c r="AZ11" s="59">
        <v>182</v>
      </c>
      <c r="BB11" s="40">
        <v>644</v>
      </c>
      <c r="BC11" s="237">
        <v>95</v>
      </c>
      <c r="BD11" s="237">
        <v>275</v>
      </c>
      <c r="BE11" s="238">
        <f>4+38</f>
        <v>42</v>
      </c>
    </row>
    <row r="12" spans="1:57" x14ac:dyDescent="0.25">
      <c r="A12" s="191" t="s">
        <v>490</v>
      </c>
      <c r="C12" s="40">
        <v>294</v>
      </c>
      <c r="D12" s="40">
        <v>142</v>
      </c>
      <c r="E12" s="40">
        <v>3</v>
      </c>
      <c r="F12" s="40">
        <v>0</v>
      </c>
      <c r="G12" s="40">
        <v>0</v>
      </c>
      <c r="I12" s="40">
        <v>280</v>
      </c>
      <c r="J12" s="40">
        <v>154</v>
      </c>
      <c r="L12" s="40">
        <v>273</v>
      </c>
      <c r="M12" s="40">
        <v>280</v>
      </c>
      <c r="N12" s="40">
        <v>145</v>
      </c>
      <c r="O12" s="40">
        <v>136</v>
      </c>
      <c r="Q12" s="40">
        <v>293</v>
      </c>
      <c r="R12" s="40">
        <v>129</v>
      </c>
      <c r="T12" s="40">
        <v>305</v>
      </c>
      <c r="U12" s="40">
        <v>121</v>
      </c>
      <c r="W12" s="40">
        <v>284</v>
      </c>
      <c r="X12" s="40">
        <v>140</v>
      </c>
      <c r="Z12" s="40">
        <v>322</v>
      </c>
      <c r="AA12" s="40"/>
      <c r="AC12" s="40">
        <v>332</v>
      </c>
      <c r="AD12" s="40"/>
      <c r="AF12" s="40"/>
      <c r="AG12" s="40"/>
      <c r="AI12" s="40"/>
      <c r="AJ12" s="40"/>
      <c r="AL12" s="40">
        <v>282</v>
      </c>
      <c r="AN12" s="40">
        <v>207</v>
      </c>
      <c r="AO12" s="40">
        <v>193</v>
      </c>
      <c r="AP12" s="40">
        <v>159</v>
      </c>
      <c r="AQ12" s="40">
        <v>171</v>
      </c>
      <c r="AS12" s="40">
        <v>158</v>
      </c>
      <c r="AT12" s="40">
        <v>108</v>
      </c>
      <c r="AV12" s="40">
        <v>211</v>
      </c>
      <c r="AW12" s="40">
        <v>187</v>
      </c>
      <c r="AY12" s="40">
        <v>270</v>
      </c>
      <c r="AZ12" s="40">
        <v>123</v>
      </c>
      <c r="BB12" s="40">
        <v>445</v>
      </c>
      <c r="BC12" s="233"/>
      <c r="BD12" s="233"/>
      <c r="BE12" s="240"/>
    </row>
    <row r="13" spans="1:57" x14ac:dyDescent="0.25">
      <c r="A13" s="191" t="s">
        <v>491</v>
      </c>
      <c r="C13" s="40">
        <v>283</v>
      </c>
      <c r="D13" s="40">
        <v>148</v>
      </c>
      <c r="E13" s="40">
        <v>0</v>
      </c>
      <c r="F13" s="40">
        <v>1</v>
      </c>
      <c r="G13" s="40">
        <v>1</v>
      </c>
      <c r="I13" s="40">
        <v>266</v>
      </c>
      <c r="J13" s="40">
        <v>159</v>
      </c>
      <c r="L13" s="40">
        <v>254</v>
      </c>
      <c r="M13" s="40">
        <v>266</v>
      </c>
      <c r="N13" s="40">
        <v>160</v>
      </c>
      <c r="O13" s="40">
        <v>151</v>
      </c>
      <c r="Q13" s="40">
        <v>264</v>
      </c>
      <c r="R13" s="40">
        <v>147</v>
      </c>
      <c r="T13" s="40">
        <v>284</v>
      </c>
      <c r="U13" s="40">
        <v>126</v>
      </c>
      <c r="W13" s="40">
        <v>268</v>
      </c>
      <c r="X13" s="40">
        <v>151</v>
      </c>
      <c r="Z13" s="40">
        <v>313</v>
      </c>
      <c r="AA13" s="40"/>
      <c r="AC13" s="40"/>
      <c r="AD13" s="40"/>
      <c r="AF13" s="40">
        <v>306</v>
      </c>
      <c r="AG13" s="40"/>
      <c r="AI13" s="40">
        <v>311</v>
      </c>
      <c r="AJ13" s="40"/>
      <c r="AL13" s="40">
        <v>296</v>
      </c>
      <c r="AN13" s="40">
        <v>202</v>
      </c>
      <c r="AO13" s="40">
        <v>191</v>
      </c>
      <c r="AP13" s="40">
        <v>177</v>
      </c>
      <c r="AQ13" s="40">
        <v>182</v>
      </c>
      <c r="AS13" s="40">
        <v>148</v>
      </c>
      <c r="AT13" s="40">
        <v>129</v>
      </c>
      <c r="AV13" s="40">
        <v>207</v>
      </c>
      <c r="AW13" s="40">
        <v>189</v>
      </c>
      <c r="AY13" s="40">
        <v>288</v>
      </c>
      <c r="AZ13" s="40">
        <v>101</v>
      </c>
      <c r="BB13" s="40">
        <v>435</v>
      </c>
      <c r="BC13" s="231">
        <v>99</v>
      </c>
      <c r="BD13" s="231">
        <v>252</v>
      </c>
      <c r="BE13" s="231">
        <f>4+40</f>
        <v>44</v>
      </c>
    </row>
    <row r="14" spans="1:57" x14ac:dyDescent="0.25">
      <c r="A14" s="191" t="s">
        <v>492</v>
      </c>
      <c r="C14" s="40">
        <v>245</v>
      </c>
      <c r="D14" s="40">
        <v>131</v>
      </c>
      <c r="E14" s="40">
        <v>0</v>
      </c>
      <c r="F14" s="40">
        <v>1</v>
      </c>
      <c r="G14" s="40">
        <v>1</v>
      </c>
      <c r="I14" s="40">
        <v>229</v>
      </c>
      <c r="J14" s="40">
        <v>144</v>
      </c>
      <c r="L14" s="40">
        <v>234</v>
      </c>
      <c r="M14" s="40">
        <v>237</v>
      </c>
      <c r="N14" s="40">
        <v>127</v>
      </c>
      <c r="O14" s="40">
        <v>122</v>
      </c>
      <c r="Q14" s="40">
        <v>241</v>
      </c>
      <c r="R14" s="40">
        <v>125</v>
      </c>
      <c r="T14" s="40">
        <v>258</v>
      </c>
      <c r="U14" s="40">
        <v>114</v>
      </c>
      <c r="W14" s="40">
        <v>229</v>
      </c>
      <c r="X14" s="40">
        <v>137</v>
      </c>
      <c r="Z14" s="40">
        <v>287</v>
      </c>
      <c r="AA14" s="40"/>
      <c r="AC14" s="40"/>
      <c r="AD14" s="40"/>
      <c r="AF14" s="40">
        <v>286</v>
      </c>
      <c r="AG14" s="40"/>
      <c r="AI14" s="40">
        <v>279</v>
      </c>
      <c r="AJ14" s="40"/>
      <c r="AL14" s="40">
        <v>255</v>
      </c>
      <c r="AN14" s="40">
        <v>194</v>
      </c>
      <c r="AO14" s="40">
        <v>191</v>
      </c>
      <c r="AP14" s="40">
        <v>166</v>
      </c>
      <c r="AQ14" s="40">
        <v>166</v>
      </c>
      <c r="AS14" s="40">
        <v>140</v>
      </c>
      <c r="AT14" s="40">
        <v>124</v>
      </c>
      <c r="AV14" s="40">
        <v>186</v>
      </c>
      <c r="AW14" s="40">
        <v>162</v>
      </c>
      <c r="AY14" s="40">
        <v>226</v>
      </c>
      <c r="AZ14" s="40">
        <v>116</v>
      </c>
      <c r="BB14" s="40">
        <v>380</v>
      </c>
      <c r="BC14" s="232"/>
      <c r="BD14" s="232"/>
      <c r="BE14" s="232"/>
    </row>
    <row r="15" spans="1:57" x14ac:dyDescent="0.25">
      <c r="A15" s="191" t="s">
        <v>493</v>
      </c>
      <c r="C15" s="40">
        <v>219</v>
      </c>
      <c r="D15" s="40">
        <v>114</v>
      </c>
      <c r="E15" s="40">
        <v>0</v>
      </c>
      <c r="F15" s="40">
        <v>1</v>
      </c>
      <c r="G15" s="40">
        <v>0</v>
      </c>
      <c r="I15" s="40">
        <v>194</v>
      </c>
      <c r="J15" s="40">
        <v>133</v>
      </c>
      <c r="L15" s="40">
        <v>200</v>
      </c>
      <c r="M15" s="40">
        <v>208</v>
      </c>
      <c r="N15" s="40">
        <v>124</v>
      </c>
      <c r="O15" s="40">
        <v>113</v>
      </c>
      <c r="Q15" s="40">
        <v>212</v>
      </c>
      <c r="R15" s="40">
        <v>111</v>
      </c>
      <c r="T15" s="40">
        <v>225</v>
      </c>
      <c r="U15" s="40">
        <v>100</v>
      </c>
      <c r="W15" s="40">
        <v>202</v>
      </c>
      <c r="X15" s="40">
        <v>122</v>
      </c>
      <c r="Z15" s="40">
        <v>238</v>
      </c>
      <c r="AA15" s="40"/>
      <c r="AC15" s="40"/>
      <c r="AD15" s="40"/>
      <c r="AF15" s="40">
        <v>241</v>
      </c>
      <c r="AG15" s="40"/>
      <c r="AI15" s="40">
        <v>240</v>
      </c>
      <c r="AJ15" s="40"/>
      <c r="AL15" s="40">
        <v>233</v>
      </c>
      <c r="AN15" s="40">
        <v>178</v>
      </c>
      <c r="AO15" s="40">
        <v>171</v>
      </c>
      <c r="AP15" s="40">
        <v>137</v>
      </c>
      <c r="AQ15" s="40">
        <v>131</v>
      </c>
      <c r="AS15" s="40">
        <v>124</v>
      </c>
      <c r="AT15" s="40">
        <v>107</v>
      </c>
      <c r="AV15" s="40">
        <v>159</v>
      </c>
      <c r="AW15" s="40">
        <v>130</v>
      </c>
      <c r="AY15" s="40">
        <v>203</v>
      </c>
      <c r="AZ15" s="40">
        <v>79</v>
      </c>
      <c r="BB15" s="40">
        <v>338</v>
      </c>
      <c r="BC15" s="233"/>
      <c r="BD15" s="233"/>
      <c r="BE15" s="233"/>
    </row>
    <row r="16" spans="1:57" ht="15.75" thickBot="1" x14ac:dyDescent="0.3"/>
    <row r="17" spans="1:57" ht="15.75" thickBot="1" x14ac:dyDescent="0.3">
      <c r="A17" s="50" t="s">
        <v>8</v>
      </c>
      <c r="B17" s="192"/>
      <c r="C17" s="51">
        <f t="shared" ref="C17" si="0">+SUM(C11:C15)</f>
        <v>1444</v>
      </c>
      <c r="D17" s="51">
        <f t="shared" ref="D17" si="1">+SUM(D11:D15)</f>
        <v>761</v>
      </c>
      <c r="E17" s="51">
        <f t="shared" ref="E17:AW17" si="2">+SUM(E11:E15)</f>
        <v>4</v>
      </c>
      <c r="F17" s="51">
        <f t="shared" si="2"/>
        <v>6</v>
      </c>
      <c r="G17" s="51">
        <f t="shared" ref="G17:L17" si="3">+SUM(G11:G15)</f>
        <v>2</v>
      </c>
      <c r="I17" s="51">
        <f t="shared" si="3"/>
        <v>1357</v>
      </c>
      <c r="J17" s="51">
        <f t="shared" si="3"/>
        <v>835</v>
      </c>
      <c r="L17" s="51">
        <f t="shared" si="3"/>
        <v>1374</v>
      </c>
      <c r="M17" s="51">
        <f t="shared" si="2"/>
        <v>1400</v>
      </c>
      <c r="N17" s="51">
        <f t="shared" si="2"/>
        <v>767</v>
      </c>
      <c r="O17" s="51">
        <f t="shared" si="2"/>
        <v>730</v>
      </c>
      <c r="Q17" s="51">
        <f t="shared" si="2"/>
        <v>1398</v>
      </c>
      <c r="R17" s="51">
        <f t="shared" si="2"/>
        <v>744</v>
      </c>
      <c r="T17" s="51">
        <f t="shared" si="2"/>
        <v>1507</v>
      </c>
      <c r="U17" s="51">
        <f t="shared" si="2"/>
        <v>654</v>
      </c>
      <c r="W17" s="51">
        <f t="shared" si="2"/>
        <v>1373</v>
      </c>
      <c r="X17" s="51">
        <f t="shared" si="2"/>
        <v>782</v>
      </c>
      <c r="Z17" s="51">
        <f t="shared" ref="Z17:AG17" si="4">+SUM(Z11:Z15)</f>
        <v>1632</v>
      </c>
      <c r="AA17" s="51">
        <f t="shared" si="4"/>
        <v>0</v>
      </c>
      <c r="AC17" s="51">
        <f t="shared" si="4"/>
        <v>804</v>
      </c>
      <c r="AD17" s="51">
        <f t="shared" si="4"/>
        <v>0</v>
      </c>
      <c r="AF17" s="51">
        <f t="shared" si="4"/>
        <v>833</v>
      </c>
      <c r="AG17" s="51">
        <f t="shared" si="4"/>
        <v>0</v>
      </c>
      <c r="AI17" s="51">
        <f t="shared" si="2"/>
        <v>830</v>
      </c>
      <c r="AJ17" s="51">
        <f t="shared" si="2"/>
        <v>0</v>
      </c>
      <c r="AL17" s="51">
        <f t="shared" ref="AL17:AT17" si="5">+SUM(AL11:AL15)</f>
        <v>1508</v>
      </c>
      <c r="AN17" s="51">
        <f t="shared" ref="AN17:AQ17" si="6">+SUM(AN11:AN15)</f>
        <v>1084</v>
      </c>
      <c r="AO17" s="51">
        <f t="shared" si="6"/>
        <v>1055</v>
      </c>
      <c r="AP17" s="51">
        <f t="shared" si="6"/>
        <v>913</v>
      </c>
      <c r="AQ17" s="51">
        <f t="shared" si="6"/>
        <v>921</v>
      </c>
      <c r="AS17" s="51">
        <f t="shared" si="5"/>
        <v>782</v>
      </c>
      <c r="AT17" s="51">
        <f t="shared" si="5"/>
        <v>676</v>
      </c>
      <c r="AV17" s="51">
        <f t="shared" si="2"/>
        <v>1060</v>
      </c>
      <c r="AW17" s="51">
        <f t="shared" si="2"/>
        <v>923</v>
      </c>
      <c r="AY17" s="51">
        <f t="shared" ref="AY17:AZ17" si="7">+SUM(AY11:AY15)</f>
        <v>1347</v>
      </c>
      <c r="AZ17" s="51">
        <f t="shared" si="7"/>
        <v>601</v>
      </c>
      <c r="BB17" s="51">
        <f t="shared" ref="BB17:BE17" si="8">+SUM(BB11:BB15)</f>
        <v>2242</v>
      </c>
      <c r="BC17" s="51">
        <f t="shared" si="8"/>
        <v>194</v>
      </c>
      <c r="BD17" s="51">
        <f t="shared" si="8"/>
        <v>527</v>
      </c>
      <c r="BE17" s="51">
        <f t="shared" si="8"/>
        <v>86</v>
      </c>
    </row>
    <row r="18" spans="1:57" x14ac:dyDescent="0.25">
      <c r="A18" s="92" t="s">
        <v>146</v>
      </c>
      <c r="B18" s="192"/>
      <c r="C18" s="53">
        <f>52+59</f>
        <v>111</v>
      </c>
      <c r="D18" s="53">
        <f>42+39</f>
        <v>81</v>
      </c>
      <c r="E18" s="53">
        <v>0</v>
      </c>
      <c r="F18" s="53">
        <v>0</v>
      </c>
      <c r="G18" s="53">
        <f>1</f>
        <v>1</v>
      </c>
      <c r="H18" s="138"/>
      <c r="I18" s="53">
        <f>46+59</f>
        <v>105</v>
      </c>
      <c r="J18" s="53">
        <f>49+40</f>
        <v>89</v>
      </c>
      <c r="K18" s="138"/>
      <c r="L18" s="53">
        <f>54+62</f>
        <v>116</v>
      </c>
      <c r="M18" s="53">
        <f>52+60</f>
        <v>112</v>
      </c>
      <c r="N18" s="53">
        <f>43+36</f>
        <v>79</v>
      </c>
      <c r="O18" s="53">
        <f>39+39</f>
        <v>78</v>
      </c>
      <c r="P18" s="138"/>
      <c r="Q18" s="53">
        <f>57+58</f>
        <v>115</v>
      </c>
      <c r="R18" s="53">
        <f>35+37</f>
        <v>72</v>
      </c>
      <c r="S18" s="138"/>
      <c r="T18" s="53">
        <f>59+59</f>
        <v>118</v>
      </c>
      <c r="U18" s="53">
        <f>32+37</f>
        <v>69</v>
      </c>
      <c r="V18" s="138"/>
      <c r="W18" s="53">
        <f>56+59</f>
        <v>115</v>
      </c>
      <c r="X18" s="53">
        <f>37+37</f>
        <v>74</v>
      </c>
      <c r="Y18" s="138"/>
      <c r="Z18" s="53">
        <f>63+70</f>
        <v>133</v>
      </c>
      <c r="AA18" s="53"/>
      <c r="AC18" s="53">
        <v>65</v>
      </c>
      <c r="AD18" s="53"/>
      <c r="AF18" s="53">
        <v>70</v>
      </c>
      <c r="AG18" s="53"/>
      <c r="AI18" s="53">
        <f>69</f>
        <v>69</v>
      </c>
      <c r="AJ18" s="53"/>
      <c r="AK18" s="138"/>
      <c r="AL18" s="53">
        <f>60+63</f>
        <v>123</v>
      </c>
      <c r="AM18" s="138"/>
      <c r="AN18" s="53">
        <f>44+46</f>
        <v>90</v>
      </c>
      <c r="AO18" s="53">
        <f>36+43</f>
        <v>79</v>
      </c>
      <c r="AP18" s="53">
        <f>35+41</f>
        <v>76</v>
      </c>
      <c r="AQ18" s="53">
        <f>38+33</f>
        <v>71</v>
      </c>
      <c r="AR18" s="138"/>
      <c r="AS18" s="53">
        <f>20+25</f>
        <v>45</v>
      </c>
      <c r="AT18" s="53">
        <f>40+33</f>
        <v>73</v>
      </c>
      <c r="AU18" s="138"/>
      <c r="AV18" s="53">
        <f>45+60</f>
        <v>105</v>
      </c>
      <c r="AW18" s="53">
        <f>46+37</f>
        <v>83</v>
      </c>
      <c r="AX18" s="138"/>
      <c r="AY18" s="53">
        <f>55+66</f>
        <v>121</v>
      </c>
      <c r="AZ18" s="53">
        <f>34+30</f>
        <v>64</v>
      </c>
      <c r="BB18" s="93"/>
      <c r="BC18" s="93"/>
      <c r="BD18" s="93"/>
      <c r="BE18" s="93"/>
    </row>
    <row r="19" spans="1:57" x14ac:dyDescent="0.25">
      <c r="A19" s="92" t="s">
        <v>43</v>
      </c>
      <c r="B19" s="192"/>
      <c r="C19" s="41">
        <v>166</v>
      </c>
      <c r="D19" s="41">
        <v>352</v>
      </c>
      <c r="E19" s="41">
        <v>3</v>
      </c>
      <c r="F19" s="41">
        <v>0</v>
      </c>
      <c r="G19" s="41">
        <v>0</v>
      </c>
      <c r="H19" s="138"/>
      <c r="I19" s="41">
        <v>156</v>
      </c>
      <c r="J19" s="41">
        <v>363</v>
      </c>
      <c r="K19" s="138"/>
      <c r="L19" s="41">
        <v>174</v>
      </c>
      <c r="M19" s="41">
        <v>162</v>
      </c>
      <c r="N19" s="41">
        <v>338</v>
      </c>
      <c r="O19" s="41">
        <v>345</v>
      </c>
      <c r="P19" s="138"/>
      <c r="Q19" s="41">
        <v>159</v>
      </c>
      <c r="R19" s="41">
        <v>347</v>
      </c>
      <c r="S19" s="138"/>
      <c r="T19" s="41">
        <v>184</v>
      </c>
      <c r="U19" s="41">
        <v>321</v>
      </c>
      <c r="V19" s="138"/>
      <c r="W19" s="41">
        <v>181</v>
      </c>
      <c r="X19" s="41">
        <v>324</v>
      </c>
      <c r="Y19" s="138"/>
      <c r="Z19" s="41">
        <v>240</v>
      </c>
      <c r="AA19" s="41"/>
      <c r="AC19" s="41">
        <v>124</v>
      </c>
      <c r="AD19" s="41"/>
      <c r="AF19" s="41">
        <v>107</v>
      </c>
      <c r="AG19" s="41"/>
      <c r="AI19" s="41">
        <v>106</v>
      </c>
      <c r="AJ19" s="41"/>
      <c r="AK19" s="138"/>
      <c r="AL19" s="41">
        <v>370</v>
      </c>
      <c r="AM19" s="138"/>
      <c r="AN19" s="41">
        <v>162</v>
      </c>
      <c r="AO19" s="41">
        <v>195</v>
      </c>
      <c r="AP19" s="41">
        <v>200</v>
      </c>
      <c r="AQ19" s="41">
        <v>262</v>
      </c>
      <c r="AR19" s="138"/>
      <c r="AS19" s="41">
        <v>88</v>
      </c>
      <c r="AT19" s="41">
        <v>203</v>
      </c>
      <c r="AU19" s="138"/>
      <c r="AV19" s="41">
        <v>242</v>
      </c>
      <c r="AW19" s="41">
        <v>251</v>
      </c>
      <c r="AX19" s="138"/>
      <c r="AY19" s="41">
        <v>349</v>
      </c>
      <c r="AZ19" s="41">
        <v>141</v>
      </c>
      <c r="BB19" s="93"/>
      <c r="BC19" s="93"/>
      <c r="BD19" s="93"/>
      <c r="BE19" s="93"/>
    </row>
    <row r="20" spans="1:57" x14ac:dyDescent="0.25">
      <c r="A20" s="94" t="s">
        <v>644</v>
      </c>
      <c r="B20" s="192"/>
      <c r="C20" s="95">
        <v>4</v>
      </c>
      <c r="D20" s="95">
        <v>4</v>
      </c>
      <c r="E20" s="95">
        <v>0</v>
      </c>
      <c r="F20" s="95">
        <v>0</v>
      </c>
      <c r="G20" s="95">
        <v>0</v>
      </c>
      <c r="H20" s="138"/>
      <c r="I20" s="95">
        <v>4</v>
      </c>
      <c r="J20" s="95">
        <v>4</v>
      </c>
      <c r="K20" s="138"/>
      <c r="L20" s="95">
        <v>4</v>
      </c>
      <c r="M20" s="95">
        <v>4</v>
      </c>
      <c r="N20" s="95">
        <v>4</v>
      </c>
      <c r="O20" s="95">
        <v>4</v>
      </c>
      <c r="P20" s="138"/>
      <c r="Q20" s="95">
        <v>4</v>
      </c>
      <c r="R20" s="95">
        <v>4</v>
      </c>
      <c r="S20" s="138"/>
      <c r="T20" s="95">
        <v>4</v>
      </c>
      <c r="U20" s="95">
        <v>4</v>
      </c>
      <c r="V20" s="138"/>
      <c r="W20" s="95">
        <v>3</v>
      </c>
      <c r="X20" s="95">
        <v>5</v>
      </c>
      <c r="Y20" s="138"/>
      <c r="Z20" s="95">
        <v>6</v>
      </c>
      <c r="AA20" s="95"/>
      <c r="AC20" s="95">
        <v>3</v>
      </c>
      <c r="AD20" s="95"/>
      <c r="AF20" s="95">
        <v>2</v>
      </c>
      <c r="AG20" s="95"/>
      <c r="AI20" s="95">
        <v>2</v>
      </c>
      <c r="AJ20" s="95"/>
      <c r="AK20" s="138"/>
      <c r="AL20" s="95">
        <v>6</v>
      </c>
      <c r="AM20" s="138"/>
      <c r="AN20" s="95">
        <v>4</v>
      </c>
      <c r="AO20" s="95">
        <v>3</v>
      </c>
      <c r="AP20" s="95">
        <v>4</v>
      </c>
      <c r="AQ20" s="95">
        <v>4</v>
      </c>
      <c r="AR20" s="138"/>
      <c r="AS20" s="95">
        <v>2</v>
      </c>
      <c r="AT20" s="95">
        <v>4</v>
      </c>
      <c r="AU20" s="138"/>
      <c r="AV20" s="95">
        <v>6</v>
      </c>
      <c r="AW20" s="95">
        <v>1</v>
      </c>
      <c r="AX20" s="138"/>
      <c r="AY20" s="95">
        <v>5</v>
      </c>
      <c r="AZ20" s="95">
        <v>2</v>
      </c>
      <c r="BB20" s="93"/>
      <c r="BC20" s="93"/>
      <c r="BD20" s="93"/>
      <c r="BE20" s="93"/>
    </row>
    <row r="21" spans="1:57" x14ac:dyDescent="0.25">
      <c r="A21" s="94" t="s">
        <v>645</v>
      </c>
      <c r="B21" s="192"/>
      <c r="C21" s="95">
        <v>42</v>
      </c>
      <c r="D21" s="95">
        <v>35</v>
      </c>
      <c r="E21" s="95">
        <v>0</v>
      </c>
      <c r="F21" s="95">
        <v>0</v>
      </c>
      <c r="G21" s="95">
        <v>0</v>
      </c>
      <c r="H21" s="138"/>
      <c r="I21" s="95">
        <v>36</v>
      </c>
      <c r="J21" s="95">
        <v>39</v>
      </c>
      <c r="K21" s="138"/>
      <c r="L21" s="95">
        <v>36</v>
      </c>
      <c r="M21" s="95">
        <v>41</v>
      </c>
      <c r="N21" s="95">
        <v>36</v>
      </c>
      <c r="O21" s="95">
        <v>33</v>
      </c>
      <c r="P21" s="138"/>
      <c r="Q21" s="95">
        <v>41</v>
      </c>
      <c r="R21" s="95">
        <v>33</v>
      </c>
      <c r="S21" s="138"/>
      <c r="T21" s="95">
        <v>43</v>
      </c>
      <c r="U21" s="95">
        <v>31</v>
      </c>
      <c r="V21" s="138"/>
      <c r="W21" s="95">
        <v>40</v>
      </c>
      <c r="X21" s="95">
        <v>34</v>
      </c>
      <c r="Y21" s="138"/>
      <c r="Z21" s="95">
        <v>46</v>
      </c>
      <c r="AA21" s="95"/>
      <c r="AC21" s="95">
        <v>16</v>
      </c>
      <c r="AD21" s="95"/>
      <c r="AF21" s="95">
        <v>28</v>
      </c>
      <c r="AG21" s="95"/>
      <c r="AI21" s="95">
        <v>28</v>
      </c>
      <c r="AJ21" s="95"/>
      <c r="AK21" s="138"/>
      <c r="AL21" s="95">
        <v>52</v>
      </c>
      <c r="AM21" s="138"/>
      <c r="AN21" s="95">
        <v>31</v>
      </c>
      <c r="AO21" s="95">
        <v>29</v>
      </c>
      <c r="AP21" s="95">
        <v>25</v>
      </c>
      <c r="AQ21" s="95">
        <v>33</v>
      </c>
      <c r="AR21" s="138"/>
      <c r="AS21" s="95">
        <v>15</v>
      </c>
      <c r="AT21" s="95">
        <v>22</v>
      </c>
      <c r="AU21" s="138"/>
      <c r="AV21" s="95">
        <v>35</v>
      </c>
      <c r="AW21" s="95">
        <v>32</v>
      </c>
      <c r="AX21" s="138"/>
      <c r="AY21" s="95">
        <v>54</v>
      </c>
      <c r="AZ21" s="95">
        <v>13</v>
      </c>
      <c r="BB21" s="93"/>
      <c r="BC21" s="93"/>
      <c r="BD21" s="93"/>
      <c r="BE21" s="93"/>
    </row>
    <row r="22" spans="1:57" ht="15.75" thickBot="1" x14ac:dyDescent="0.3">
      <c r="A22" s="94" t="s">
        <v>651</v>
      </c>
      <c r="B22" s="192"/>
      <c r="C22" s="95">
        <f>8</f>
        <v>8</v>
      </c>
      <c r="D22" s="95">
        <f>2</f>
        <v>2</v>
      </c>
      <c r="E22" s="95">
        <v>0</v>
      </c>
      <c r="F22" s="95">
        <v>0</v>
      </c>
      <c r="G22" s="95">
        <v>0</v>
      </c>
      <c r="H22" s="138"/>
      <c r="I22" s="95">
        <f>8</f>
        <v>8</v>
      </c>
      <c r="J22" s="95">
        <f>2</f>
        <v>2</v>
      </c>
      <c r="K22" s="138"/>
      <c r="L22" s="95">
        <f>8</f>
        <v>8</v>
      </c>
      <c r="M22" s="95">
        <f>8</f>
        <v>8</v>
      </c>
      <c r="N22" s="95">
        <f>2</f>
        <v>2</v>
      </c>
      <c r="O22" s="95">
        <f>2</f>
        <v>2</v>
      </c>
      <c r="P22" s="138"/>
      <c r="Q22" s="95">
        <f>8</f>
        <v>8</v>
      </c>
      <c r="R22" s="95">
        <f>2</f>
        <v>2</v>
      </c>
      <c r="S22" s="138"/>
      <c r="T22" s="95">
        <f>8</f>
        <v>8</v>
      </c>
      <c r="U22" s="95">
        <f>2</f>
        <v>2</v>
      </c>
      <c r="V22" s="138"/>
      <c r="W22" s="95">
        <f>8</f>
        <v>8</v>
      </c>
      <c r="X22" s="95">
        <f>2</f>
        <v>2</v>
      </c>
      <c r="Y22" s="138"/>
      <c r="Z22" s="95">
        <f>8</f>
        <v>8</v>
      </c>
      <c r="AA22" s="95"/>
      <c r="AC22" s="95">
        <f>4</f>
        <v>4</v>
      </c>
      <c r="AD22" s="95"/>
      <c r="AF22" s="95">
        <f>4</f>
        <v>4</v>
      </c>
      <c r="AG22" s="95"/>
      <c r="AI22" s="95">
        <f>4</f>
        <v>4</v>
      </c>
      <c r="AJ22" s="95"/>
      <c r="AK22" s="138"/>
      <c r="AL22" s="95">
        <f>4</f>
        <v>4</v>
      </c>
      <c r="AM22" s="138"/>
      <c r="AN22" s="95">
        <f>2</f>
        <v>2</v>
      </c>
      <c r="AO22" s="95">
        <f>2</f>
        <v>2</v>
      </c>
      <c r="AP22" s="95">
        <f>2</f>
        <v>2</v>
      </c>
      <c r="AQ22" s="95">
        <f>1</f>
        <v>1</v>
      </c>
      <c r="AR22" s="138"/>
      <c r="AS22" s="95">
        <f>1</f>
        <v>1</v>
      </c>
      <c r="AT22" s="95">
        <f>1</f>
        <v>1</v>
      </c>
      <c r="AU22" s="138"/>
      <c r="AV22" s="95">
        <f>4</f>
        <v>4</v>
      </c>
      <c r="AW22" s="95">
        <f>3</f>
        <v>3</v>
      </c>
      <c r="AX22" s="138"/>
      <c r="AY22" s="95">
        <f>5</f>
        <v>5</v>
      </c>
      <c r="AZ22" s="95">
        <f>2</f>
        <v>2</v>
      </c>
      <c r="BB22" s="93"/>
      <c r="BC22" s="93"/>
      <c r="BD22" s="93"/>
      <c r="BE22" s="93"/>
    </row>
    <row r="23" spans="1:57" ht="15.75" thickBot="1" x14ac:dyDescent="0.3">
      <c r="A23" s="50" t="s">
        <v>45</v>
      </c>
      <c r="B23" s="192"/>
      <c r="C23" s="51">
        <f t="shared" ref="C23" si="9">+SUM(C17:C21)</f>
        <v>1767</v>
      </c>
      <c r="D23" s="51">
        <f t="shared" ref="D23" si="10">+SUM(D17:D21)</f>
        <v>1233</v>
      </c>
      <c r="E23" s="51">
        <f t="shared" ref="E23:F23" si="11">+SUM(E17:E21)</f>
        <v>7</v>
      </c>
      <c r="F23" s="51">
        <f t="shared" si="11"/>
        <v>6</v>
      </c>
      <c r="G23" s="51">
        <f t="shared" ref="G23:J23" si="12">+SUM(G17:G21)</f>
        <v>3</v>
      </c>
      <c r="I23" s="51">
        <f t="shared" si="12"/>
        <v>1658</v>
      </c>
      <c r="J23" s="51">
        <f t="shared" si="12"/>
        <v>1330</v>
      </c>
      <c r="L23" s="51">
        <f>+SUM(L17:L22)</f>
        <v>1712</v>
      </c>
      <c r="M23" s="51">
        <f t="shared" ref="M23:O23" si="13">+SUM(M17:M22)</f>
        <v>1727</v>
      </c>
      <c r="N23" s="51">
        <f t="shared" si="13"/>
        <v>1226</v>
      </c>
      <c r="O23" s="51">
        <f t="shared" si="13"/>
        <v>1192</v>
      </c>
      <c r="Q23" s="51">
        <f t="shared" ref="Q23:R23" si="14">+SUM(Q17:Q22)</f>
        <v>1725</v>
      </c>
      <c r="R23" s="51">
        <f t="shared" si="14"/>
        <v>1202</v>
      </c>
      <c r="T23" s="51">
        <f t="shared" ref="T23:U23" si="15">+SUM(T17:T22)</f>
        <v>1864</v>
      </c>
      <c r="U23" s="51">
        <f t="shared" si="15"/>
        <v>1081</v>
      </c>
      <c r="W23" s="51">
        <f t="shared" ref="W23:X23" si="16">+SUM(W17:W22)</f>
        <v>1720</v>
      </c>
      <c r="X23" s="51">
        <f t="shared" si="16"/>
        <v>1221</v>
      </c>
      <c r="Z23" s="51">
        <f t="shared" ref="Z23:AA23" si="17">+SUM(Z17:Z22)</f>
        <v>2065</v>
      </c>
      <c r="AA23" s="51">
        <f t="shared" si="17"/>
        <v>0</v>
      </c>
      <c r="AC23" s="51">
        <f t="shared" ref="AC23:AD23" si="18">+SUM(AC17:AC22)</f>
        <v>1016</v>
      </c>
      <c r="AD23" s="51">
        <f t="shared" si="18"/>
        <v>0</v>
      </c>
      <c r="AF23" s="51">
        <f t="shared" ref="AF23:AG23" si="19">+SUM(AF17:AF22)</f>
        <v>1044</v>
      </c>
      <c r="AG23" s="51">
        <f t="shared" si="19"/>
        <v>0</v>
      </c>
      <c r="AI23" s="51">
        <f t="shared" ref="AI23:AJ23" si="20">+SUM(AI17:AI22)</f>
        <v>1039</v>
      </c>
      <c r="AJ23" s="51">
        <f t="shared" si="20"/>
        <v>0</v>
      </c>
      <c r="AL23" s="51">
        <f>+SUM(AL17:AL22)</f>
        <v>2063</v>
      </c>
      <c r="AN23" s="51">
        <f t="shared" ref="AN23:AQ23" si="21">+SUM(AN17:AN22)</f>
        <v>1373</v>
      </c>
      <c r="AO23" s="51">
        <f t="shared" si="21"/>
        <v>1363</v>
      </c>
      <c r="AP23" s="51">
        <f t="shared" si="21"/>
        <v>1220</v>
      </c>
      <c r="AQ23" s="51">
        <f t="shared" si="21"/>
        <v>1292</v>
      </c>
      <c r="AS23" s="51">
        <f t="shared" ref="AS23:AT23" si="22">+SUM(AS17:AS22)</f>
        <v>933</v>
      </c>
      <c r="AT23" s="51">
        <f t="shared" si="22"/>
        <v>979</v>
      </c>
      <c r="AV23" s="51">
        <f t="shared" ref="AV23:AW23" si="23">+SUM(AV17:AV22)</f>
        <v>1452</v>
      </c>
      <c r="AW23" s="51">
        <f t="shared" si="23"/>
        <v>1293</v>
      </c>
      <c r="AY23" s="51">
        <f t="shared" ref="AY23:AZ23" si="24">+SUM(AY17:AY22)</f>
        <v>1881</v>
      </c>
      <c r="AZ23" s="51">
        <f t="shared" si="24"/>
        <v>823</v>
      </c>
      <c r="BB23" s="96"/>
      <c r="BC23" s="96"/>
      <c r="BD23" s="96"/>
      <c r="BE23" s="96"/>
    </row>
  </sheetData>
  <mergeCells count="34">
    <mergeCell ref="AI1:AJ1"/>
    <mergeCell ref="AI2:AJ2"/>
    <mergeCell ref="AI3:AJ3"/>
    <mergeCell ref="C2:G2"/>
    <mergeCell ref="I2:O2"/>
    <mergeCell ref="C3:G3"/>
    <mergeCell ref="I3:J3"/>
    <mergeCell ref="L3:O3"/>
    <mergeCell ref="Q3:R3"/>
    <mergeCell ref="T3:U3"/>
    <mergeCell ref="W3:X3"/>
    <mergeCell ref="Z3:AA3"/>
    <mergeCell ref="AC2:AD2"/>
    <mergeCell ref="AC3:AD3"/>
    <mergeCell ref="AF2:AG2"/>
    <mergeCell ref="AF3:AG3"/>
    <mergeCell ref="AV3:AW3"/>
    <mergeCell ref="AY3:AZ3"/>
    <mergeCell ref="AV6:AV8"/>
    <mergeCell ref="AW6:AW8"/>
    <mergeCell ref="AY6:AY8"/>
    <mergeCell ref="AZ6:AZ8"/>
    <mergeCell ref="AN2:AQ2"/>
    <mergeCell ref="AN3:AQ3"/>
    <mergeCell ref="AS2:AT2"/>
    <mergeCell ref="AS1:AT1"/>
    <mergeCell ref="AS3:AT3"/>
    <mergeCell ref="BD13:BD15"/>
    <mergeCell ref="BC13:BC15"/>
    <mergeCell ref="BD11:BD12"/>
    <mergeCell ref="BC11:BC12"/>
    <mergeCell ref="BB2:BE3"/>
    <mergeCell ref="BE13:BE15"/>
    <mergeCell ref="BE11:BE12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"/>
  <sheetViews>
    <sheetView zoomScale="75" zoomScaleNormal="75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6" width="15" style="191" customWidth="1"/>
    <col min="27" max="27" width="1.7109375" style="191" customWidth="1"/>
    <col min="28" max="29" width="9.7109375" style="191" customWidth="1"/>
    <col min="30" max="30" width="1.7109375" style="191" customWidth="1"/>
    <col min="31" max="32" width="9.7109375" style="191" customWidth="1"/>
    <col min="33" max="33" width="1.7109375" style="191" customWidth="1"/>
    <col min="34" max="34" width="10.140625" style="191" bestFit="1" customWidth="1"/>
    <col min="35" max="36" width="9.5703125" style="191" customWidth="1"/>
    <col min="37" max="37" width="12.140625" style="191" customWidth="1"/>
    <col min="38" max="57" width="13.42578125" style="191" customWidth="1"/>
    <col min="58" max="16384" width="9.140625" style="191"/>
  </cols>
  <sheetData>
    <row r="1" spans="1:37" x14ac:dyDescent="0.25">
      <c r="Z1" s="177" t="s">
        <v>310</v>
      </c>
    </row>
    <row r="2" spans="1:37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112"/>
      <c r="X2" s="113"/>
      <c r="Z2" s="178" t="s">
        <v>514</v>
      </c>
      <c r="AB2" s="80"/>
      <c r="AC2" s="81"/>
      <c r="AD2" s="9"/>
      <c r="AE2" s="80"/>
      <c r="AF2" s="81"/>
      <c r="AH2" s="234" t="s">
        <v>5</v>
      </c>
      <c r="AI2" s="235"/>
      <c r="AJ2" s="235"/>
      <c r="AK2" s="236"/>
    </row>
    <row r="3" spans="1:37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123</v>
      </c>
      <c r="X3" s="223"/>
      <c r="Z3" s="178" t="s">
        <v>312</v>
      </c>
      <c r="AB3" s="222" t="s">
        <v>126</v>
      </c>
      <c r="AC3" s="223"/>
      <c r="AD3" s="9"/>
      <c r="AE3" s="222" t="s">
        <v>127</v>
      </c>
      <c r="AF3" s="223"/>
      <c r="AH3" s="219"/>
      <c r="AI3" s="220"/>
      <c r="AJ3" s="220"/>
      <c r="AK3" s="221"/>
    </row>
    <row r="4" spans="1:37" ht="5.0999999999999996" customHeight="1" thickBot="1" x14ac:dyDescent="0.3">
      <c r="C4" s="115"/>
      <c r="D4" s="117"/>
      <c r="E4" s="117"/>
      <c r="F4" s="117"/>
      <c r="G4" s="116"/>
      <c r="I4" s="115"/>
      <c r="J4" s="117"/>
      <c r="K4" s="140"/>
      <c r="L4" s="68"/>
      <c r="M4" s="68"/>
      <c r="N4" s="68"/>
      <c r="O4" s="69"/>
      <c r="Q4" s="82"/>
      <c r="R4" s="83"/>
      <c r="T4" s="82"/>
      <c r="U4" s="83"/>
      <c r="W4" s="114"/>
      <c r="X4" s="74"/>
      <c r="Z4" s="202"/>
      <c r="AB4" s="75"/>
      <c r="AC4" s="74"/>
      <c r="AD4" s="9"/>
      <c r="AE4" s="75"/>
      <c r="AF4" s="74"/>
      <c r="AH4" s="204"/>
      <c r="AI4" s="205"/>
      <c r="AJ4" s="205"/>
      <c r="AK4" s="206"/>
    </row>
    <row r="5" spans="1:37" x14ac:dyDescent="0.25">
      <c r="C5" s="5"/>
      <c r="D5" s="8"/>
      <c r="E5" s="8"/>
      <c r="F5" s="8"/>
      <c r="G5" s="6"/>
      <c r="I5" s="5"/>
      <c r="J5" s="6"/>
      <c r="L5" s="89"/>
      <c r="M5" s="98"/>
      <c r="N5" s="98"/>
      <c r="O5" s="6"/>
      <c r="Q5" s="5"/>
      <c r="R5" s="6"/>
      <c r="T5" s="5"/>
      <c r="U5" s="6"/>
      <c r="W5" s="10"/>
      <c r="X5" s="97"/>
      <c r="Z5" s="201"/>
      <c r="AB5" s="10"/>
      <c r="AC5" s="12"/>
      <c r="AD5" s="9"/>
      <c r="AE5" s="10"/>
      <c r="AF5" s="12"/>
      <c r="AH5" s="157"/>
      <c r="AI5" s="158"/>
      <c r="AJ5" s="158"/>
      <c r="AK5" s="159"/>
    </row>
    <row r="6" spans="1:37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20" t="str">
        <f>+'Lead Sheet'!S6</f>
        <v>Vince</v>
      </c>
      <c r="J6" s="21" t="str">
        <f>+'Lead Sheet'!T6</f>
        <v>Vince</v>
      </c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Q6" s="20" t="str">
        <f>+'Lead Sheet'!AR6</f>
        <v>Joseph J.</v>
      </c>
      <c r="R6" s="21" t="str">
        <f>+'Lead Sheet'!AS6</f>
        <v>Lisa</v>
      </c>
      <c r="T6" s="20" t="str">
        <f>+'Lead Sheet'!AU6</f>
        <v>Frank X.</v>
      </c>
      <c r="U6" s="21" t="str">
        <f>+'Lead Sheet'!AV6</f>
        <v>Celeste</v>
      </c>
      <c r="W6" s="20" t="str">
        <f>+'Lead Sheet'!AX6</f>
        <v>Maureen</v>
      </c>
      <c r="X6" s="21" t="str">
        <f>+'Lead Sheet'!AY6</f>
        <v>Jelani</v>
      </c>
      <c r="Z6" s="193" t="s">
        <v>73</v>
      </c>
      <c r="AB6" s="229" t="s">
        <v>9</v>
      </c>
      <c r="AC6" s="230" t="s">
        <v>10</v>
      </c>
      <c r="AD6" s="9"/>
      <c r="AE6" s="229" t="s">
        <v>9</v>
      </c>
      <c r="AF6" s="230" t="s">
        <v>10</v>
      </c>
      <c r="AH6" s="160" t="s">
        <v>8</v>
      </c>
      <c r="AI6" s="161" t="s">
        <v>8</v>
      </c>
      <c r="AJ6" s="161" t="s">
        <v>8</v>
      </c>
      <c r="AK6" s="162" t="s">
        <v>8</v>
      </c>
    </row>
    <row r="7" spans="1:37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20" t="str">
        <f>+'Lead Sheet'!S7</f>
        <v>POLISTINA</v>
      </c>
      <c r="J7" s="21" t="str">
        <f>+'Lead Sheet'!T7</f>
        <v>MAZZEO</v>
      </c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Q7" s="20" t="str">
        <f>+'Lead Sheet'!AR7</f>
        <v>GIRALO</v>
      </c>
      <c r="R7" s="21" t="str">
        <f>+'Lead Sheet'!AS7</f>
        <v>JIAMPETTI</v>
      </c>
      <c r="T7" s="20" t="str">
        <f>+'Lead Sheet'!AU7</f>
        <v>BALLES</v>
      </c>
      <c r="U7" s="21" t="str">
        <f>+'Lead Sheet'!AV7</f>
        <v>FERNANDEZ</v>
      </c>
      <c r="W7" s="20" t="str">
        <f>+'Lead Sheet'!AX7</f>
        <v>KERN</v>
      </c>
      <c r="X7" s="21" t="str">
        <f>+'Lead Sheet'!AY7</f>
        <v>GANDY</v>
      </c>
      <c r="Z7" s="193" t="s">
        <v>515</v>
      </c>
      <c r="AB7" s="229"/>
      <c r="AC7" s="230"/>
      <c r="AD7" s="9"/>
      <c r="AE7" s="229"/>
      <c r="AF7" s="230"/>
      <c r="AH7" s="160" t="s">
        <v>12</v>
      </c>
      <c r="AI7" s="161" t="s">
        <v>144</v>
      </c>
      <c r="AJ7" s="161" t="s">
        <v>13</v>
      </c>
      <c r="AK7" s="162" t="s">
        <v>14</v>
      </c>
    </row>
    <row r="8" spans="1:37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20" t="str">
        <f>+'Lead Sheet'!S8</f>
        <v>Republican</v>
      </c>
      <c r="J8" s="21" t="str">
        <f>+'Lead Sheet'!T8</f>
        <v>Democrat</v>
      </c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Q8" s="20" t="str">
        <f>+'Lead Sheet'!AR8</f>
        <v>Republican</v>
      </c>
      <c r="R8" s="21" t="str">
        <f>+'Lead Sheet'!AS8</f>
        <v>Democrat</v>
      </c>
      <c r="T8" s="20" t="str">
        <f>+'Lead Sheet'!AU8</f>
        <v>Republican</v>
      </c>
      <c r="U8" s="21" t="str">
        <f>+'Lead Sheet'!AV8</f>
        <v>Democrat</v>
      </c>
      <c r="W8" s="20" t="str">
        <f>+'Lead Sheet'!AX8</f>
        <v>Republican</v>
      </c>
      <c r="X8" s="21" t="str">
        <f>+'Lead Sheet'!AY8</f>
        <v>Democrat</v>
      </c>
      <c r="Z8" s="193"/>
      <c r="AB8" s="229"/>
      <c r="AC8" s="230"/>
      <c r="AD8" s="9"/>
      <c r="AE8" s="229"/>
      <c r="AF8" s="230"/>
      <c r="AH8" s="160" t="s">
        <v>18</v>
      </c>
      <c r="AI8" s="161" t="s">
        <v>145</v>
      </c>
      <c r="AJ8" s="161" t="s">
        <v>19</v>
      </c>
      <c r="AK8" s="162" t="s">
        <v>18</v>
      </c>
    </row>
    <row r="9" spans="1:37" x14ac:dyDescent="0.25">
      <c r="C9" s="60"/>
      <c r="D9" s="31"/>
      <c r="E9" s="31"/>
      <c r="F9" s="31"/>
      <c r="G9" s="61" t="str">
        <f>+'Lead Sheet'!G9</f>
        <v>Party</v>
      </c>
      <c r="I9" s="20"/>
      <c r="J9" s="21"/>
      <c r="L9" s="20"/>
      <c r="M9" s="7"/>
      <c r="N9" s="7"/>
      <c r="O9" s="21"/>
      <c r="Q9" s="20"/>
      <c r="R9" s="21"/>
      <c r="T9" s="20"/>
      <c r="U9" s="21"/>
      <c r="W9" s="20"/>
      <c r="X9" s="21"/>
      <c r="Z9" s="193"/>
      <c r="AB9" s="27"/>
      <c r="AC9" s="28"/>
      <c r="AD9" s="9"/>
      <c r="AE9" s="27"/>
      <c r="AF9" s="28"/>
      <c r="AH9" s="164"/>
      <c r="AI9" s="163"/>
      <c r="AJ9" s="163"/>
      <c r="AK9" s="165"/>
    </row>
    <row r="10" spans="1:37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33"/>
      <c r="X10" s="35"/>
      <c r="Z10" s="199"/>
      <c r="AB10" s="36"/>
      <c r="AC10" s="38"/>
      <c r="AD10" s="9"/>
      <c r="AE10" s="36"/>
      <c r="AF10" s="38"/>
      <c r="AH10" s="166"/>
      <c r="AI10" s="167"/>
      <c r="AJ10" s="167"/>
      <c r="AK10" s="168"/>
    </row>
    <row r="11" spans="1:37" x14ac:dyDescent="0.25">
      <c r="A11" s="191" t="s">
        <v>34</v>
      </c>
      <c r="C11" s="40">
        <v>211</v>
      </c>
      <c r="D11" s="40">
        <v>89</v>
      </c>
      <c r="E11" s="40">
        <v>1</v>
      </c>
      <c r="F11" s="40">
        <v>0</v>
      </c>
      <c r="G11" s="40">
        <v>0</v>
      </c>
      <c r="I11" s="40">
        <v>201</v>
      </c>
      <c r="J11" s="40">
        <v>93</v>
      </c>
      <c r="L11" s="40">
        <v>199</v>
      </c>
      <c r="M11" s="40">
        <v>206</v>
      </c>
      <c r="N11" s="40">
        <v>84</v>
      </c>
      <c r="O11" s="40">
        <v>85</v>
      </c>
      <c r="Q11" s="40">
        <v>202</v>
      </c>
      <c r="R11" s="40">
        <v>89</v>
      </c>
      <c r="T11" s="40">
        <v>213</v>
      </c>
      <c r="U11" s="40">
        <v>79</v>
      </c>
      <c r="W11" s="40">
        <v>205</v>
      </c>
      <c r="X11" s="40">
        <v>84</v>
      </c>
      <c r="Z11" s="59">
        <v>207</v>
      </c>
      <c r="AB11" s="40">
        <v>145</v>
      </c>
      <c r="AC11" s="40">
        <v>126</v>
      </c>
      <c r="AE11" s="40">
        <v>173</v>
      </c>
      <c r="AF11" s="40">
        <v>95</v>
      </c>
      <c r="AH11" s="42">
        <v>303</v>
      </c>
      <c r="AI11" s="42">
        <v>39</v>
      </c>
      <c r="AJ11" s="42">
        <v>90</v>
      </c>
      <c r="AK11" s="42">
        <f>2+8</f>
        <v>10</v>
      </c>
    </row>
    <row r="12" spans="1:37" ht="15.75" thickBot="1" x14ac:dyDescent="0.3"/>
    <row r="13" spans="1:37" ht="15.75" thickBot="1" x14ac:dyDescent="0.3">
      <c r="A13" s="50" t="s">
        <v>8</v>
      </c>
      <c r="B13" s="192"/>
      <c r="C13" s="51">
        <f t="shared" ref="C13" si="0">+C11</f>
        <v>211</v>
      </c>
      <c r="D13" s="51">
        <f t="shared" ref="D13:O13" si="1">+D11</f>
        <v>89</v>
      </c>
      <c r="E13" s="51">
        <f t="shared" si="1"/>
        <v>1</v>
      </c>
      <c r="F13" s="51">
        <f t="shared" si="1"/>
        <v>0</v>
      </c>
      <c r="G13" s="51">
        <f t="shared" si="1"/>
        <v>0</v>
      </c>
      <c r="I13" s="51">
        <f t="shared" ref="I13:N13" si="2">+I11</f>
        <v>201</v>
      </c>
      <c r="J13" s="51">
        <f t="shared" si="2"/>
        <v>93</v>
      </c>
      <c r="L13" s="51">
        <f t="shared" si="2"/>
        <v>199</v>
      </c>
      <c r="M13" s="51">
        <f t="shared" si="2"/>
        <v>206</v>
      </c>
      <c r="N13" s="51">
        <f t="shared" si="2"/>
        <v>84</v>
      </c>
      <c r="O13" s="51">
        <f t="shared" si="1"/>
        <v>85</v>
      </c>
      <c r="Q13" s="51">
        <f t="shared" ref="Q13:X13" si="3">+Q11</f>
        <v>202</v>
      </c>
      <c r="R13" s="51">
        <f t="shared" si="3"/>
        <v>89</v>
      </c>
      <c r="T13" s="51">
        <f t="shared" si="3"/>
        <v>213</v>
      </c>
      <c r="U13" s="51">
        <f t="shared" si="3"/>
        <v>79</v>
      </c>
      <c r="W13" s="51">
        <f t="shared" si="3"/>
        <v>205</v>
      </c>
      <c r="X13" s="51">
        <f t="shared" si="3"/>
        <v>84</v>
      </c>
      <c r="Z13" s="51">
        <f t="shared" ref="Z13:AC13" si="4">+Z11</f>
        <v>207</v>
      </c>
      <c r="AB13" s="51">
        <f t="shared" si="4"/>
        <v>145</v>
      </c>
      <c r="AC13" s="51">
        <f t="shared" si="4"/>
        <v>126</v>
      </c>
      <c r="AE13" s="51">
        <f t="shared" ref="AE13:AF13" si="5">+AE11</f>
        <v>173</v>
      </c>
      <c r="AF13" s="51">
        <f t="shared" si="5"/>
        <v>95</v>
      </c>
      <c r="AH13" s="51">
        <f t="shared" ref="AH13:AK13" si="6">+AH11</f>
        <v>303</v>
      </c>
      <c r="AI13" s="51">
        <f t="shared" si="6"/>
        <v>39</v>
      </c>
      <c r="AJ13" s="51">
        <f t="shared" si="6"/>
        <v>90</v>
      </c>
      <c r="AK13" s="51">
        <f t="shared" si="6"/>
        <v>10</v>
      </c>
    </row>
    <row r="14" spans="1:37" x14ac:dyDescent="0.25">
      <c r="A14" s="92" t="s">
        <v>146</v>
      </c>
      <c r="B14" s="192"/>
      <c r="C14" s="53">
        <v>32</v>
      </c>
      <c r="D14" s="53">
        <v>7</v>
      </c>
      <c r="E14" s="53">
        <v>0</v>
      </c>
      <c r="F14" s="53">
        <v>0</v>
      </c>
      <c r="G14" s="53">
        <v>0</v>
      </c>
      <c r="I14" s="53">
        <v>30</v>
      </c>
      <c r="J14" s="53">
        <v>7</v>
      </c>
      <c r="L14" s="53">
        <v>27</v>
      </c>
      <c r="M14" s="53">
        <v>28</v>
      </c>
      <c r="N14" s="53">
        <v>9</v>
      </c>
      <c r="O14" s="53">
        <v>11</v>
      </c>
      <c r="Q14" s="53">
        <v>29</v>
      </c>
      <c r="R14" s="53">
        <v>8</v>
      </c>
      <c r="T14" s="53">
        <v>28</v>
      </c>
      <c r="U14" s="53">
        <v>8</v>
      </c>
      <c r="W14" s="53">
        <v>28</v>
      </c>
      <c r="X14" s="53">
        <v>8</v>
      </c>
      <c r="Z14" s="53">
        <v>23</v>
      </c>
      <c r="AB14" s="53">
        <v>19</v>
      </c>
      <c r="AC14" s="53">
        <v>14</v>
      </c>
      <c r="AE14" s="53">
        <v>22</v>
      </c>
      <c r="AF14" s="53">
        <v>12</v>
      </c>
      <c r="AH14" s="93"/>
      <c r="AI14" s="93"/>
      <c r="AJ14" s="93"/>
      <c r="AK14" s="93"/>
    </row>
    <row r="15" spans="1:37" x14ac:dyDescent="0.25">
      <c r="A15" s="92" t="s">
        <v>43</v>
      </c>
      <c r="B15" s="192"/>
      <c r="C15" s="41">
        <v>34</v>
      </c>
      <c r="D15" s="41">
        <v>54</v>
      </c>
      <c r="E15" s="41">
        <v>0</v>
      </c>
      <c r="F15" s="41">
        <v>0</v>
      </c>
      <c r="G15" s="41">
        <v>0</v>
      </c>
      <c r="I15" s="41">
        <v>34</v>
      </c>
      <c r="J15" s="41">
        <v>56</v>
      </c>
      <c r="L15" s="41">
        <v>37</v>
      </c>
      <c r="M15" s="41">
        <v>44</v>
      </c>
      <c r="N15" s="41">
        <v>51</v>
      </c>
      <c r="O15" s="41">
        <v>48</v>
      </c>
      <c r="Q15" s="41">
        <v>37</v>
      </c>
      <c r="R15" s="41">
        <v>52</v>
      </c>
      <c r="T15" s="41">
        <v>39</v>
      </c>
      <c r="U15" s="41">
        <v>50</v>
      </c>
      <c r="W15" s="41">
        <v>38</v>
      </c>
      <c r="X15" s="41">
        <v>50</v>
      </c>
      <c r="Z15" s="41">
        <v>74</v>
      </c>
      <c r="AB15" s="41">
        <v>34</v>
      </c>
      <c r="AC15" s="41">
        <v>52</v>
      </c>
      <c r="AE15" s="41">
        <v>57</v>
      </c>
      <c r="AF15" s="41">
        <v>30</v>
      </c>
      <c r="AH15" s="93"/>
      <c r="AI15" s="93"/>
      <c r="AJ15" s="93"/>
      <c r="AK15" s="93"/>
    </row>
    <row r="16" spans="1:37" x14ac:dyDescent="0.25">
      <c r="A16" s="94" t="s">
        <v>644</v>
      </c>
      <c r="B16" s="192"/>
      <c r="C16" s="95">
        <v>2</v>
      </c>
      <c r="D16" s="95">
        <v>0</v>
      </c>
      <c r="E16" s="95">
        <v>0</v>
      </c>
      <c r="F16" s="95">
        <v>0</v>
      </c>
      <c r="G16" s="95">
        <v>0</v>
      </c>
      <c r="I16" s="95">
        <v>2</v>
      </c>
      <c r="J16" s="95">
        <v>0</v>
      </c>
      <c r="L16" s="95">
        <v>2</v>
      </c>
      <c r="M16" s="95">
        <v>2</v>
      </c>
      <c r="N16" s="95">
        <v>0</v>
      </c>
      <c r="O16" s="95">
        <v>0</v>
      </c>
      <c r="Q16" s="95">
        <v>2</v>
      </c>
      <c r="R16" s="95">
        <v>0</v>
      </c>
      <c r="T16" s="95">
        <v>2</v>
      </c>
      <c r="U16" s="95">
        <v>0</v>
      </c>
      <c r="W16" s="95">
        <v>2</v>
      </c>
      <c r="X16" s="95">
        <v>0</v>
      </c>
      <c r="Z16" s="95">
        <v>1</v>
      </c>
      <c r="AB16" s="95">
        <v>0</v>
      </c>
      <c r="AC16" s="95">
        <v>1</v>
      </c>
      <c r="AE16" s="95">
        <v>0</v>
      </c>
      <c r="AF16" s="95">
        <v>1</v>
      </c>
      <c r="AH16" s="93"/>
      <c r="AI16" s="93"/>
      <c r="AJ16" s="93"/>
      <c r="AK16" s="93"/>
    </row>
    <row r="17" spans="1:37" x14ac:dyDescent="0.25">
      <c r="A17" s="94" t="s">
        <v>645</v>
      </c>
      <c r="B17" s="192"/>
      <c r="C17" s="95">
        <v>7</v>
      </c>
      <c r="D17" s="95">
        <v>1</v>
      </c>
      <c r="E17" s="95">
        <v>0</v>
      </c>
      <c r="F17" s="95">
        <v>0</v>
      </c>
      <c r="G17" s="95">
        <v>0</v>
      </c>
      <c r="H17" s="213" t="s">
        <v>258</v>
      </c>
      <c r="I17" s="95">
        <v>7</v>
      </c>
      <c r="J17" s="95">
        <v>1</v>
      </c>
      <c r="L17" s="95">
        <v>6</v>
      </c>
      <c r="M17" s="95">
        <v>6</v>
      </c>
      <c r="N17" s="95">
        <v>1</v>
      </c>
      <c r="O17" s="95">
        <v>2</v>
      </c>
      <c r="Q17" s="95">
        <v>7</v>
      </c>
      <c r="R17" s="95">
        <v>1</v>
      </c>
      <c r="T17" s="95">
        <v>8</v>
      </c>
      <c r="U17" s="95">
        <v>0</v>
      </c>
      <c r="W17" s="95">
        <v>8</v>
      </c>
      <c r="X17" s="95">
        <v>0</v>
      </c>
      <c r="Z17" s="95">
        <v>4</v>
      </c>
      <c r="AB17" s="95">
        <v>3</v>
      </c>
      <c r="AC17" s="95">
        <v>3</v>
      </c>
      <c r="AE17" s="95">
        <v>3</v>
      </c>
      <c r="AF17" s="95">
        <v>3</v>
      </c>
      <c r="AH17" s="93"/>
      <c r="AI17" s="93"/>
      <c r="AJ17" s="93"/>
      <c r="AK17" s="93"/>
    </row>
    <row r="18" spans="1:37" ht="15.75" thickBot="1" x14ac:dyDescent="0.3">
      <c r="A18" s="94" t="s">
        <v>651</v>
      </c>
      <c r="B18" s="192"/>
      <c r="C18" s="95">
        <v>0</v>
      </c>
      <c r="D18" s="95">
        <f>1</f>
        <v>1</v>
      </c>
      <c r="E18" s="95">
        <v>0</v>
      </c>
      <c r="F18" s="95">
        <v>0</v>
      </c>
      <c r="G18" s="95">
        <v>0</v>
      </c>
      <c r="H18" s="213"/>
      <c r="I18" s="95">
        <f>0</f>
        <v>0</v>
      </c>
      <c r="J18" s="95">
        <f>1</f>
        <v>1</v>
      </c>
      <c r="L18" s="95">
        <v>0</v>
      </c>
      <c r="M18" s="95">
        <v>0</v>
      </c>
      <c r="N18" s="95">
        <f>1</f>
        <v>1</v>
      </c>
      <c r="O18" s="95">
        <f>1</f>
        <v>1</v>
      </c>
      <c r="Q18" s="95">
        <v>0</v>
      </c>
      <c r="R18" s="95">
        <f>1</f>
        <v>1</v>
      </c>
      <c r="T18" s="95">
        <v>0</v>
      </c>
      <c r="U18" s="95">
        <f>1</f>
        <v>1</v>
      </c>
      <c r="W18" s="95">
        <f>0</f>
        <v>0</v>
      </c>
      <c r="X18" s="95">
        <f>1</f>
        <v>1</v>
      </c>
      <c r="Z18" s="95">
        <f>0</f>
        <v>0</v>
      </c>
      <c r="AB18" s="95">
        <v>0</v>
      </c>
      <c r="AC18" s="95">
        <f>1</f>
        <v>1</v>
      </c>
      <c r="AE18" s="95">
        <v>0</v>
      </c>
      <c r="AF18" s="95">
        <f>1</f>
        <v>1</v>
      </c>
      <c r="AH18" s="93"/>
      <c r="AI18" s="93"/>
      <c r="AJ18" s="93"/>
      <c r="AK18" s="93"/>
    </row>
    <row r="19" spans="1:37" ht="15.75" thickBot="1" x14ac:dyDescent="0.3">
      <c r="A19" s="50" t="s">
        <v>45</v>
      </c>
      <c r="B19" s="192"/>
      <c r="C19" s="51">
        <f>+SUM(C13:C18)</f>
        <v>286</v>
      </c>
      <c r="D19" s="51">
        <f t="shared" ref="D19:G19" si="7">+SUM(D13:D18)</f>
        <v>152</v>
      </c>
      <c r="E19" s="51">
        <f t="shared" si="7"/>
        <v>1</v>
      </c>
      <c r="F19" s="51">
        <f t="shared" si="7"/>
        <v>0</v>
      </c>
      <c r="G19" s="51">
        <f t="shared" si="7"/>
        <v>0</v>
      </c>
      <c r="I19" s="51">
        <f t="shared" ref="I19:J19" si="8">+SUM(I13:I18)</f>
        <v>274</v>
      </c>
      <c r="J19" s="51">
        <f t="shared" si="8"/>
        <v>158</v>
      </c>
      <c r="L19" s="51">
        <f t="shared" ref="L19:O19" si="9">+SUM(L13:L18)</f>
        <v>271</v>
      </c>
      <c r="M19" s="51">
        <f t="shared" si="9"/>
        <v>286</v>
      </c>
      <c r="N19" s="51">
        <f>+SUM(N13:N18)</f>
        <v>146</v>
      </c>
      <c r="O19" s="51">
        <f t="shared" si="9"/>
        <v>147</v>
      </c>
      <c r="Q19" s="51">
        <f t="shared" ref="Q19:R19" si="10">+SUM(Q13:Q17)</f>
        <v>277</v>
      </c>
      <c r="R19" s="51">
        <f t="shared" si="10"/>
        <v>150</v>
      </c>
      <c r="T19" s="51">
        <f t="shared" ref="T19" si="11">+SUM(T13:T18)</f>
        <v>290</v>
      </c>
      <c r="U19" s="51">
        <f t="shared" ref="U19" si="12">+SUM(U13:U18)</f>
        <v>138</v>
      </c>
      <c r="W19" s="51">
        <f t="shared" ref="W19" si="13">+SUM(W13:W18)</f>
        <v>281</v>
      </c>
      <c r="X19" s="51">
        <f t="shared" ref="X19" si="14">+SUM(X13:X18)</f>
        <v>143</v>
      </c>
      <c r="Z19" s="51">
        <f t="shared" ref="Z19" si="15">+SUM(Z13:Z18)</f>
        <v>309</v>
      </c>
      <c r="AB19" s="51">
        <f t="shared" ref="AB19" si="16">+SUM(AB13:AB18)</f>
        <v>201</v>
      </c>
      <c r="AC19" s="51">
        <f t="shared" ref="AC19" si="17">+SUM(AC13:AC18)</f>
        <v>197</v>
      </c>
      <c r="AE19" s="51">
        <f t="shared" ref="AE19" si="18">+SUM(AE13:AE18)</f>
        <v>255</v>
      </c>
      <c r="AF19" s="51">
        <f t="shared" ref="AF19" si="19">+SUM(AF13:AF18)</f>
        <v>142</v>
      </c>
      <c r="AH19" s="96"/>
      <c r="AI19" s="96"/>
      <c r="AJ19" s="96"/>
      <c r="AK19" s="96"/>
    </row>
  </sheetData>
  <mergeCells count="15">
    <mergeCell ref="C2:G2"/>
    <mergeCell ref="I2:O2"/>
    <mergeCell ref="C3:G3"/>
    <mergeCell ref="I3:J3"/>
    <mergeCell ref="L3:O3"/>
    <mergeCell ref="AH2:AK3"/>
    <mergeCell ref="AB6:AB8"/>
    <mergeCell ref="AC6:AC8"/>
    <mergeCell ref="AE6:AE8"/>
    <mergeCell ref="AF6:AF8"/>
    <mergeCell ref="Q3:R3"/>
    <mergeCell ref="T3:U3"/>
    <mergeCell ref="W3:X3"/>
    <mergeCell ref="AB3:AC3"/>
    <mergeCell ref="AE3:AF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1" manualBreakCount="1">
    <brk id="1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2"/>
  <sheetViews>
    <sheetView zoomScale="75" zoomScaleNormal="75" workbookViewId="0"/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7" width="9.7109375" style="191" customWidth="1"/>
    <col min="28" max="28" width="1.7109375" style="191" customWidth="1"/>
    <col min="29" max="30" width="9.7109375" style="191" customWidth="1"/>
    <col min="31" max="31" width="1.7109375" style="191" customWidth="1"/>
    <col min="32" max="32" width="13.42578125" style="191" customWidth="1"/>
    <col min="33" max="34" width="9.5703125" style="191" customWidth="1"/>
    <col min="35" max="55" width="13.42578125" style="191" customWidth="1"/>
    <col min="56" max="16384" width="9.140625" style="191"/>
  </cols>
  <sheetData>
    <row r="2" spans="1:35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112"/>
      <c r="X2" s="113"/>
      <c r="Z2" s="80"/>
      <c r="AA2" s="81"/>
      <c r="AC2" s="80"/>
      <c r="AD2" s="81"/>
      <c r="AF2" s="234" t="s">
        <v>5</v>
      </c>
      <c r="AG2" s="235"/>
      <c r="AH2" s="235"/>
      <c r="AI2" s="236"/>
    </row>
    <row r="3" spans="1:35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123</v>
      </c>
      <c r="X3" s="223"/>
      <c r="Z3" s="222" t="s">
        <v>126</v>
      </c>
      <c r="AA3" s="223"/>
      <c r="AC3" s="222" t="s">
        <v>127</v>
      </c>
      <c r="AD3" s="223"/>
      <c r="AF3" s="219"/>
      <c r="AG3" s="220"/>
      <c r="AH3" s="220"/>
      <c r="AI3" s="221"/>
    </row>
    <row r="4" spans="1:35" ht="5.0999999999999996" customHeight="1" thickBot="1" x14ac:dyDescent="0.3">
      <c r="C4" s="115"/>
      <c r="D4" s="117"/>
      <c r="E4" s="117"/>
      <c r="F4" s="117"/>
      <c r="G4" s="116"/>
      <c r="I4" s="115"/>
      <c r="J4" s="117"/>
      <c r="K4" s="140"/>
      <c r="L4" s="68"/>
      <c r="M4" s="68"/>
      <c r="N4" s="68"/>
      <c r="O4" s="69"/>
      <c r="Q4" s="82"/>
      <c r="R4" s="83"/>
      <c r="T4" s="82"/>
      <c r="U4" s="83"/>
      <c r="W4" s="114"/>
      <c r="X4" s="74"/>
      <c r="Z4" s="75"/>
      <c r="AA4" s="74"/>
      <c r="AC4" s="75"/>
      <c r="AD4" s="74"/>
      <c r="AF4" s="204"/>
      <c r="AG4" s="205"/>
      <c r="AH4" s="205"/>
      <c r="AI4" s="206"/>
    </row>
    <row r="5" spans="1:35" x14ac:dyDescent="0.25">
      <c r="C5" s="5"/>
      <c r="D5" s="8"/>
      <c r="E5" s="8"/>
      <c r="F5" s="8"/>
      <c r="G5" s="6"/>
      <c r="I5" s="5"/>
      <c r="J5" s="6"/>
      <c r="L5" s="89"/>
      <c r="M5" s="98"/>
      <c r="N5" s="98"/>
      <c r="O5" s="6"/>
      <c r="Q5" s="5"/>
      <c r="R5" s="6"/>
      <c r="T5" s="5"/>
      <c r="U5" s="6"/>
      <c r="W5" s="10"/>
      <c r="X5" s="97"/>
      <c r="Z5" s="10"/>
      <c r="AA5" s="12"/>
      <c r="AC5" s="10"/>
      <c r="AD5" s="12"/>
      <c r="AF5" s="157"/>
      <c r="AG5" s="158"/>
      <c r="AH5" s="158"/>
      <c r="AI5" s="159"/>
    </row>
    <row r="6" spans="1:35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20" t="str">
        <f>+'Lead Sheet'!S6</f>
        <v>Vince</v>
      </c>
      <c r="J6" s="21" t="str">
        <f>+'Lead Sheet'!T6</f>
        <v>Vince</v>
      </c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Q6" s="20" t="str">
        <f>+'Lead Sheet'!AR6</f>
        <v>Joseph J.</v>
      </c>
      <c r="R6" s="21" t="str">
        <f>+'Lead Sheet'!AS6</f>
        <v>Lisa</v>
      </c>
      <c r="T6" s="20" t="str">
        <f>+'Lead Sheet'!AU6</f>
        <v>Frank X.</v>
      </c>
      <c r="U6" s="21" t="str">
        <f>+'Lead Sheet'!AV6</f>
        <v>Celeste</v>
      </c>
      <c r="W6" s="20" t="str">
        <f>+'Lead Sheet'!AX6</f>
        <v>Maureen</v>
      </c>
      <c r="X6" s="21" t="str">
        <f>+'Lead Sheet'!AY6</f>
        <v>Jelani</v>
      </c>
      <c r="Z6" s="229" t="s">
        <v>9</v>
      </c>
      <c r="AA6" s="230" t="s">
        <v>10</v>
      </c>
      <c r="AC6" s="229" t="s">
        <v>9</v>
      </c>
      <c r="AD6" s="230" t="s">
        <v>10</v>
      </c>
      <c r="AF6" s="160" t="s">
        <v>8</v>
      </c>
      <c r="AG6" s="161" t="s">
        <v>8</v>
      </c>
      <c r="AH6" s="161" t="s">
        <v>8</v>
      </c>
      <c r="AI6" s="162" t="s">
        <v>8</v>
      </c>
    </row>
    <row r="7" spans="1:35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20" t="str">
        <f>+'Lead Sheet'!S7</f>
        <v>POLISTINA</v>
      </c>
      <c r="J7" s="21" t="str">
        <f>+'Lead Sheet'!T7</f>
        <v>MAZZEO</v>
      </c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Q7" s="20" t="str">
        <f>+'Lead Sheet'!AR7</f>
        <v>GIRALO</v>
      </c>
      <c r="R7" s="21" t="str">
        <f>+'Lead Sheet'!AS7</f>
        <v>JIAMPETTI</v>
      </c>
      <c r="T7" s="20" t="str">
        <f>+'Lead Sheet'!AU7</f>
        <v>BALLES</v>
      </c>
      <c r="U7" s="21" t="str">
        <f>+'Lead Sheet'!AV7</f>
        <v>FERNANDEZ</v>
      </c>
      <c r="W7" s="20" t="str">
        <f>+'Lead Sheet'!AX7</f>
        <v>KERN</v>
      </c>
      <c r="X7" s="21" t="str">
        <f>+'Lead Sheet'!AY7</f>
        <v>GANDY</v>
      </c>
      <c r="Z7" s="229"/>
      <c r="AA7" s="230"/>
      <c r="AC7" s="229"/>
      <c r="AD7" s="230"/>
      <c r="AF7" s="160" t="s">
        <v>12</v>
      </c>
      <c r="AG7" s="161" t="s">
        <v>144</v>
      </c>
      <c r="AH7" s="161" t="s">
        <v>13</v>
      </c>
      <c r="AI7" s="162" t="s">
        <v>14</v>
      </c>
    </row>
    <row r="8" spans="1:35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20" t="str">
        <f>+'Lead Sheet'!S8</f>
        <v>Republican</v>
      </c>
      <c r="J8" s="21" t="str">
        <f>+'Lead Sheet'!T8</f>
        <v>Democrat</v>
      </c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Q8" s="20" t="str">
        <f>+'Lead Sheet'!AR8</f>
        <v>Republican</v>
      </c>
      <c r="R8" s="21" t="str">
        <f>+'Lead Sheet'!AS8</f>
        <v>Democrat</v>
      </c>
      <c r="T8" s="20" t="str">
        <f>+'Lead Sheet'!AU8</f>
        <v>Republican</v>
      </c>
      <c r="U8" s="21" t="str">
        <f>+'Lead Sheet'!AV8</f>
        <v>Democrat</v>
      </c>
      <c r="W8" s="20" t="str">
        <f>+'Lead Sheet'!AX8</f>
        <v>Republican</v>
      </c>
      <c r="X8" s="21" t="str">
        <f>+'Lead Sheet'!AY8</f>
        <v>Democrat</v>
      </c>
      <c r="Z8" s="229"/>
      <c r="AA8" s="230"/>
      <c r="AC8" s="229"/>
      <c r="AD8" s="230"/>
      <c r="AF8" s="160" t="s">
        <v>18</v>
      </c>
      <c r="AG8" s="161" t="s">
        <v>145</v>
      </c>
      <c r="AH8" s="161" t="s">
        <v>19</v>
      </c>
      <c r="AI8" s="162" t="s">
        <v>18</v>
      </c>
    </row>
    <row r="9" spans="1:35" x14ac:dyDescent="0.25">
      <c r="C9" s="60"/>
      <c r="D9" s="31"/>
      <c r="E9" s="31"/>
      <c r="F9" s="31"/>
      <c r="G9" s="61" t="str">
        <f>+'Lead Sheet'!G9</f>
        <v>Party</v>
      </c>
      <c r="I9" s="20"/>
      <c r="J9" s="21"/>
      <c r="L9" s="20"/>
      <c r="M9" s="7"/>
      <c r="N9" s="7"/>
      <c r="O9" s="21"/>
      <c r="Q9" s="20"/>
      <c r="R9" s="21"/>
      <c r="T9" s="20"/>
      <c r="U9" s="21"/>
      <c r="W9" s="20"/>
      <c r="X9" s="21"/>
      <c r="Z9" s="27"/>
      <c r="AA9" s="28"/>
      <c r="AC9" s="27"/>
      <c r="AD9" s="28"/>
      <c r="AF9" s="164"/>
      <c r="AG9" s="163"/>
      <c r="AH9" s="163"/>
      <c r="AI9" s="165"/>
    </row>
    <row r="10" spans="1:35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33"/>
      <c r="X10" s="35"/>
      <c r="Z10" s="36"/>
      <c r="AA10" s="38"/>
      <c r="AC10" s="36"/>
      <c r="AD10" s="38"/>
      <c r="AF10" s="166"/>
      <c r="AG10" s="167"/>
      <c r="AH10" s="167"/>
      <c r="AI10" s="168"/>
    </row>
    <row r="11" spans="1:35" x14ac:dyDescent="0.25">
      <c r="A11" s="191" t="s">
        <v>516</v>
      </c>
      <c r="C11" s="40">
        <v>322</v>
      </c>
      <c r="D11" s="40">
        <v>222</v>
      </c>
      <c r="E11" s="40">
        <v>0</v>
      </c>
      <c r="F11" s="40">
        <v>0</v>
      </c>
      <c r="G11" s="40">
        <v>0</v>
      </c>
      <c r="I11" s="40">
        <v>312</v>
      </c>
      <c r="J11" s="40">
        <v>223</v>
      </c>
      <c r="L11" s="40">
        <v>344</v>
      </c>
      <c r="M11" s="40">
        <v>361</v>
      </c>
      <c r="N11" s="40">
        <v>188</v>
      </c>
      <c r="O11" s="40">
        <v>166</v>
      </c>
      <c r="Q11" s="40">
        <v>330</v>
      </c>
      <c r="R11" s="40">
        <v>199</v>
      </c>
      <c r="T11" s="40">
        <v>354</v>
      </c>
      <c r="U11" s="40">
        <v>177</v>
      </c>
      <c r="W11" s="40">
        <v>344</v>
      </c>
      <c r="X11" s="40">
        <v>184</v>
      </c>
      <c r="Z11" s="40">
        <v>234</v>
      </c>
      <c r="AA11" s="40">
        <v>236</v>
      </c>
      <c r="AC11" s="40">
        <v>316</v>
      </c>
      <c r="AD11" s="40">
        <v>152</v>
      </c>
      <c r="AF11" s="40">
        <v>546</v>
      </c>
      <c r="AG11" s="237">
        <v>149</v>
      </c>
      <c r="AH11" s="237">
        <v>539</v>
      </c>
      <c r="AI11" s="238">
        <f>5+62</f>
        <v>67</v>
      </c>
    </row>
    <row r="12" spans="1:35" x14ac:dyDescent="0.25">
      <c r="A12" s="191" t="s">
        <v>517</v>
      </c>
      <c r="C12" s="40">
        <v>349</v>
      </c>
      <c r="D12" s="40">
        <v>193</v>
      </c>
      <c r="E12" s="40">
        <v>1</v>
      </c>
      <c r="F12" s="40">
        <v>0</v>
      </c>
      <c r="G12" s="40">
        <v>0</v>
      </c>
      <c r="I12" s="40">
        <v>329</v>
      </c>
      <c r="J12" s="40">
        <v>206</v>
      </c>
      <c r="L12" s="40">
        <v>335</v>
      </c>
      <c r="M12" s="40">
        <v>367</v>
      </c>
      <c r="N12" s="40">
        <v>190</v>
      </c>
      <c r="O12" s="40">
        <v>168</v>
      </c>
      <c r="Q12" s="40">
        <v>327</v>
      </c>
      <c r="R12" s="40">
        <v>195</v>
      </c>
      <c r="T12" s="40">
        <v>348</v>
      </c>
      <c r="U12" s="40">
        <v>175</v>
      </c>
      <c r="W12" s="40">
        <v>344</v>
      </c>
      <c r="X12" s="40">
        <v>175</v>
      </c>
      <c r="Z12" s="40">
        <v>239</v>
      </c>
      <c r="AA12" s="40">
        <v>201</v>
      </c>
      <c r="AC12" s="40">
        <v>292</v>
      </c>
      <c r="AD12" s="40">
        <v>142</v>
      </c>
      <c r="AF12" s="40">
        <v>547</v>
      </c>
      <c r="AG12" s="232"/>
      <c r="AH12" s="232"/>
      <c r="AI12" s="239"/>
    </row>
    <row r="13" spans="1:35" x14ac:dyDescent="0.25">
      <c r="A13" s="191" t="s">
        <v>518</v>
      </c>
      <c r="C13" s="40">
        <v>291</v>
      </c>
      <c r="D13" s="40">
        <v>151</v>
      </c>
      <c r="E13" s="40">
        <v>1</v>
      </c>
      <c r="F13" s="40">
        <v>0</v>
      </c>
      <c r="G13" s="40">
        <v>0</v>
      </c>
      <c r="I13" s="40">
        <v>276</v>
      </c>
      <c r="J13" s="40">
        <v>161</v>
      </c>
      <c r="L13" s="40">
        <v>286</v>
      </c>
      <c r="M13" s="40">
        <v>302</v>
      </c>
      <c r="N13" s="40">
        <v>145</v>
      </c>
      <c r="O13" s="40">
        <v>132</v>
      </c>
      <c r="Q13" s="40">
        <v>295</v>
      </c>
      <c r="R13" s="40">
        <v>139</v>
      </c>
      <c r="T13" s="40">
        <v>306</v>
      </c>
      <c r="U13" s="40">
        <v>134</v>
      </c>
      <c r="W13" s="40">
        <v>305</v>
      </c>
      <c r="X13" s="40">
        <v>130</v>
      </c>
      <c r="Z13" s="40">
        <v>189</v>
      </c>
      <c r="AA13" s="40">
        <v>181</v>
      </c>
      <c r="AC13" s="40">
        <v>243</v>
      </c>
      <c r="AD13" s="40">
        <v>117</v>
      </c>
      <c r="AF13" s="40">
        <v>449</v>
      </c>
      <c r="AG13" s="232"/>
      <c r="AH13" s="232"/>
      <c r="AI13" s="239"/>
    </row>
    <row r="14" spans="1:35" x14ac:dyDescent="0.25">
      <c r="A14" s="191" t="s">
        <v>519</v>
      </c>
      <c r="C14" s="40">
        <v>170</v>
      </c>
      <c r="D14" s="40">
        <v>102</v>
      </c>
      <c r="E14" s="40">
        <v>0</v>
      </c>
      <c r="F14" s="40">
        <v>0</v>
      </c>
      <c r="G14" s="40">
        <v>0</v>
      </c>
      <c r="I14" s="40">
        <v>167</v>
      </c>
      <c r="J14" s="40">
        <v>101</v>
      </c>
      <c r="L14" s="40">
        <v>169</v>
      </c>
      <c r="M14" s="40">
        <v>174</v>
      </c>
      <c r="N14" s="40">
        <v>96</v>
      </c>
      <c r="O14" s="40">
        <v>89</v>
      </c>
      <c r="Q14" s="40">
        <v>165</v>
      </c>
      <c r="R14" s="40">
        <v>98</v>
      </c>
      <c r="T14" s="40">
        <v>171</v>
      </c>
      <c r="U14" s="40">
        <v>91</v>
      </c>
      <c r="W14" s="40">
        <v>172</v>
      </c>
      <c r="X14" s="40">
        <v>88</v>
      </c>
      <c r="Z14" s="40">
        <v>132</v>
      </c>
      <c r="AA14" s="40">
        <v>101</v>
      </c>
      <c r="AC14" s="40">
        <v>147</v>
      </c>
      <c r="AD14" s="40">
        <v>84</v>
      </c>
      <c r="AF14" s="40">
        <v>279</v>
      </c>
      <c r="AG14" s="233"/>
      <c r="AH14" s="233"/>
      <c r="AI14" s="240"/>
    </row>
    <row r="15" spans="1:35" ht="15.75" thickBot="1" x14ac:dyDescent="0.3"/>
    <row r="16" spans="1:35" ht="15.75" thickBot="1" x14ac:dyDescent="0.3">
      <c r="A16" s="50" t="s">
        <v>8</v>
      </c>
      <c r="B16" s="192"/>
      <c r="C16" s="51">
        <f>+SUM(C11:C14)</f>
        <v>1132</v>
      </c>
      <c r="D16" s="51">
        <f t="shared" ref="D16:J16" si="0">+SUM(D11:D14)</f>
        <v>668</v>
      </c>
      <c r="E16" s="51">
        <f t="shared" si="0"/>
        <v>2</v>
      </c>
      <c r="F16" s="51">
        <f t="shared" si="0"/>
        <v>0</v>
      </c>
      <c r="G16" s="51">
        <f t="shared" si="0"/>
        <v>0</v>
      </c>
      <c r="I16" s="51">
        <f t="shared" si="0"/>
        <v>1084</v>
      </c>
      <c r="J16" s="51">
        <f t="shared" si="0"/>
        <v>691</v>
      </c>
      <c r="L16" s="51">
        <f t="shared" ref="L16:R16" si="1">+SUM(L11:L14)</f>
        <v>1134</v>
      </c>
      <c r="M16" s="51">
        <f t="shared" si="1"/>
        <v>1204</v>
      </c>
      <c r="N16" s="51">
        <f t="shared" si="1"/>
        <v>619</v>
      </c>
      <c r="O16" s="51">
        <f t="shared" si="1"/>
        <v>555</v>
      </c>
      <c r="Q16" s="51">
        <f t="shared" si="1"/>
        <v>1117</v>
      </c>
      <c r="R16" s="51">
        <f t="shared" si="1"/>
        <v>631</v>
      </c>
      <c r="T16" s="51">
        <f t="shared" ref="T16:AC16" si="2">+SUM(T11:T14)</f>
        <v>1179</v>
      </c>
      <c r="U16" s="51">
        <f t="shared" si="2"/>
        <v>577</v>
      </c>
      <c r="W16" s="51">
        <f t="shared" si="2"/>
        <v>1165</v>
      </c>
      <c r="X16" s="51">
        <f t="shared" si="2"/>
        <v>577</v>
      </c>
      <c r="Z16" s="51">
        <f t="shared" si="2"/>
        <v>794</v>
      </c>
      <c r="AA16" s="51">
        <f t="shared" si="2"/>
        <v>719</v>
      </c>
      <c r="AC16" s="51">
        <f t="shared" si="2"/>
        <v>998</v>
      </c>
      <c r="AD16" s="51">
        <f t="shared" ref="AD16" si="3">+SUM(AD11:AD14)</f>
        <v>495</v>
      </c>
      <c r="AF16" s="51">
        <f t="shared" ref="AF16:AI16" si="4">+SUM(AF11:AF14)</f>
        <v>1821</v>
      </c>
      <c r="AG16" s="51">
        <f t="shared" si="4"/>
        <v>149</v>
      </c>
      <c r="AH16" s="51">
        <f t="shared" si="4"/>
        <v>539</v>
      </c>
      <c r="AI16" s="51">
        <f t="shared" si="4"/>
        <v>67</v>
      </c>
    </row>
    <row r="17" spans="1:35" x14ac:dyDescent="0.25">
      <c r="A17" s="92" t="s">
        <v>146</v>
      </c>
      <c r="B17" s="192"/>
      <c r="C17" s="53">
        <v>78</v>
      </c>
      <c r="D17" s="53">
        <v>70</v>
      </c>
      <c r="E17" s="53">
        <v>1</v>
      </c>
      <c r="F17" s="53">
        <v>0</v>
      </c>
      <c r="G17" s="53">
        <v>0</v>
      </c>
      <c r="I17" s="53">
        <v>75</v>
      </c>
      <c r="J17" s="53">
        <v>73</v>
      </c>
      <c r="L17" s="53">
        <v>79</v>
      </c>
      <c r="M17" s="53">
        <v>80</v>
      </c>
      <c r="N17" s="53">
        <v>66</v>
      </c>
      <c r="O17" s="53">
        <v>66</v>
      </c>
      <c r="Q17" s="53">
        <v>71</v>
      </c>
      <c r="R17" s="53">
        <v>75</v>
      </c>
      <c r="T17" s="53">
        <v>80</v>
      </c>
      <c r="U17" s="53">
        <v>65</v>
      </c>
      <c r="W17" s="53">
        <v>78</v>
      </c>
      <c r="X17" s="53">
        <v>67</v>
      </c>
      <c r="Z17" s="53">
        <v>69</v>
      </c>
      <c r="AA17" s="53">
        <v>70</v>
      </c>
      <c r="AC17" s="53">
        <v>86</v>
      </c>
      <c r="AD17" s="53">
        <v>51</v>
      </c>
      <c r="AF17" s="93"/>
      <c r="AG17" s="93"/>
      <c r="AH17" s="93"/>
      <c r="AI17" s="93"/>
    </row>
    <row r="18" spans="1:35" x14ac:dyDescent="0.25">
      <c r="A18" s="92" t="s">
        <v>43</v>
      </c>
      <c r="B18" s="192"/>
      <c r="C18" s="41">
        <v>164</v>
      </c>
      <c r="D18" s="41">
        <v>369</v>
      </c>
      <c r="E18" s="41">
        <v>3</v>
      </c>
      <c r="F18" s="41">
        <v>0</v>
      </c>
      <c r="G18" s="41">
        <v>1</v>
      </c>
      <c r="I18" s="41">
        <v>166</v>
      </c>
      <c r="J18" s="41">
        <v>370</v>
      </c>
      <c r="L18" s="41">
        <v>198</v>
      </c>
      <c r="M18" s="41">
        <v>213</v>
      </c>
      <c r="N18" s="41">
        <v>336</v>
      </c>
      <c r="O18" s="41">
        <v>322</v>
      </c>
      <c r="Q18" s="41">
        <v>162</v>
      </c>
      <c r="R18" s="41">
        <v>363</v>
      </c>
      <c r="T18" s="41">
        <v>186</v>
      </c>
      <c r="U18" s="41">
        <v>342</v>
      </c>
      <c r="W18" s="41">
        <v>179</v>
      </c>
      <c r="X18" s="41">
        <v>345</v>
      </c>
      <c r="Z18" s="41">
        <v>240</v>
      </c>
      <c r="AA18" s="41">
        <v>274</v>
      </c>
      <c r="AB18" s="213"/>
      <c r="AC18" s="41">
        <v>331</v>
      </c>
      <c r="AD18" s="41">
        <v>182</v>
      </c>
      <c r="AF18" s="93"/>
      <c r="AG18" s="93"/>
      <c r="AH18" s="93"/>
      <c r="AI18" s="93"/>
    </row>
    <row r="19" spans="1:35" x14ac:dyDescent="0.25">
      <c r="A19" s="94" t="s">
        <v>644</v>
      </c>
      <c r="B19" s="192"/>
      <c r="C19" s="95">
        <v>2</v>
      </c>
      <c r="D19" s="95">
        <v>3</v>
      </c>
      <c r="E19" s="95">
        <v>0</v>
      </c>
      <c r="F19" s="95">
        <v>0</v>
      </c>
      <c r="G19" s="95">
        <v>0</v>
      </c>
      <c r="I19" s="95">
        <v>3</v>
      </c>
      <c r="J19" s="95">
        <v>2</v>
      </c>
      <c r="L19" s="95">
        <v>4</v>
      </c>
      <c r="M19" s="95">
        <v>4</v>
      </c>
      <c r="N19" s="95">
        <v>1</v>
      </c>
      <c r="O19" s="95">
        <v>1</v>
      </c>
      <c r="Q19" s="95">
        <v>4</v>
      </c>
      <c r="R19" s="95">
        <v>1</v>
      </c>
      <c r="T19" s="95">
        <v>4</v>
      </c>
      <c r="U19" s="95">
        <v>1</v>
      </c>
      <c r="W19" s="95">
        <v>4</v>
      </c>
      <c r="X19" s="95">
        <v>1</v>
      </c>
      <c r="Z19" s="95">
        <v>2</v>
      </c>
      <c r="AA19" s="95">
        <v>3</v>
      </c>
      <c r="AB19" s="215"/>
      <c r="AC19" s="95">
        <v>2</v>
      </c>
      <c r="AD19" s="95">
        <v>3</v>
      </c>
      <c r="AF19" s="93"/>
      <c r="AG19" s="93"/>
      <c r="AH19" s="93"/>
      <c r="AI19" s="93"/>
    </row>
    <row r="20" spans="1:35" x14ac:dyDescent="0.25">
      <c r="A20" s="94" t="s">
        <v>645</v>
      </c>
      <c r="B20" s="192"/>
      <c r="C20" s="95">
        <v>37</v>
      </c>
      <c r="D20" s="95">
        <v>23</v>
      </c>
      <c r="E20" s="95">
        <v>0</v>
      </c>
      <c r="F20" s="95">
        <v>0</v>
      </c>
      <c r="G20" s="95">
        <v>0</v>
      </c>
      <c r="I20" s="95">
        <v>39</v>
      </c>
      <c r="J20" s="95">
        <v>22</v>
      </c>
      <c r="L20" s="95">
        <v>40</v>
      </c>
      <c r="M20" s="95">
        <v>41</v>
      </c>
      <c r="N20" s="95">
        <v>21</v>
      </c>
      <c r="O20" s="95">
        <v>19</v>
      </c>
      <c r="Q20" s="95">
        <v>42</v>
      </c>
      <c r="R20" s="95">
        <v>19</v>
      </c>
      <c r="T20" s="95">
        <v>41</v>
      </c>
      <c r="U20" s="95">
        <v>19</v>
      </c>
      <c r="W20" s="95">
        <v>41</v>
      </c>
      <c r="X20" s="95">
        <v>20</v>
      </c>
      <c r="Z20" s="95">
        <v>30</v>
      </c>
      <c r="AA20" s="95">
        <v>26</v>
      </c>
      <c r="AC20" s="95">
        <v>38</v>
      </c>
      <c r="AD20" s="95">
        <v>17</v>
      </c>
      <c r="AF20" s="93"/>
      <c r="AG20" s="93"/>
      <c r="AH20" s="93"/>
      <c r="AI20" s="93"/>
    </row>
    <row r="21" spans="1:35" ht="15.75" thickBot="1" x14ac:dyDescent="0.3">
      <c r="A21" s="94" t="s">
        <v>651</v>
      </c>
      <c r="B21" s="192"/>
      <c r="C21" s="95">
        <f>2+1</f>
        <v>3</v>
      </c>
      <c r="D21" s="95">
        <f>4</f>
        <v>4</v>
      </c>
      <c r="E21" s="95">
        <v>0</v>
      </c>
      <c r="F21" s="95">
        <v>0</v>
      </c>
      <c r="G21" s="95">
        <v>0</v>
      </c>
      <c r="I21" s="95">
        <f>2+1</f>
        <v>3</v>
      </c>
      <c r="J21" s="95">
        <f>5</f>
        <v>5</v>
      </c>
      <c r="L21" s="95">
        <f>2+1</f>
        <v>3</v>
      </c>
      <c r="M21" s="95">
        <f>2+1</f>
        <v>3</v>
      </c>
      <c r="N21" s="95">
        <f>5</f>
        <v>5</v>
      </c>
      <c r="O21" s="95">
        <f>5</f>
        <v>5</v>
      </c>
      <c r="Q21" s="95">
        <f>2+1</f>
        <v>3</v>
      </c>
      <c r="R21" s="95">
        <f>5</f>
        <v>5</v>
      </c>
      <c r="T21" s="95">
        <f>2</f>
        <v>2</v>
      </c>
      <c r="U21" s="95">
        <f>5</f>
        <v>5</v>
      </c>
      <c r="W21" s="95">
        <f>2</f>
        <v>2</v>
      </c>
      <c r="X21" s="95">
        <f>5</f>
        <v>5</v>
      </c>
      <c r="Z21" s="95">
        <f>7+1</f>
        <v>8</v>
      </c>
      <c r="AA21" s="95">
        <f>1</f>
        <v>1</v>
      </c>
      <c r="AB21" s="191" t="s">
        <v>258</v>
      </c>
      <c r="AC21" s="95">
        <f>7+1</f>
        <v>8</v>
      </c>
      <c r="AD21" s="95">
        <f>1</f>
        <v>1</v>
      </c>
      <c r="AF21" s="93"/>
      <c r="AG21" s="93"/>
      <c r="AH21" s="93"/>
      <c r="AI21" s="93"/>
    </row>
    <row r="22" spans="1:35" ht="15.75" thickBot="1" x14ac:dyDescent="0.3">
      <c r="A22" s="50" t="s">
        <v>45</v>
      </c>
      <c r="B22" s="192"/>
      <c r="C22" s="51">
        <f>+SUM(C16:C21)</f>
        <v>1416</v>
      </c>
      <c r="D22" s="51">
        <f t="shared" ref="D22:G22" si="5">+SUM(D16:D21)</f>
        <v>1137</v>
      </c>
      <c r="E22" s="51">
        <f t="shared" si="5"/>
        <v>6</v>
      </c>
      <c r="F22" s="51">
        <f t="shared" si="5"/>
        <v>0</v>
      </c>
      <c r="G22" s="51">
        <f t="shared" si="5"/>
        <v>1</v>
      </c>
      <c r="I22" s="51">
        <f t="shared" ref="I22:J22" si="6">+SUM(I16:I21)</f>
        <v>1370</v>
      </c>
      <c r="J22" s="51">
        <f t="shared" si="6"/>
        <v>1163</v>
      </c>
      <c r="L22" s="51">
        <f t="shared" ref="L22:O22" si="7">+SUM(L16:L21)</f>
        <v>1458</v>
      </c>
      <c r="M22" s="51">
        <f t="shared" si="7"/>
        <v>1545</v>
      </c>
      <c r="N22" s="51">
        <f t="shared" si="7"/>
        <v>1048</v>
      </c>
      <c r="O22" s="51">
        <f t="shared" si="7"/>
        <v>968</v>
      </c>
      <c r="Q22" s="51">
        <f t="shared" ref="Q22:R22" si="8">+SUM(Q16:Q21)</f>
        <v>1399</v>
      </c>
      <c r="R22" s="51">
        <f t="shared" si="8"/>
        <v>1094</v>
      </c>
      <c r="T22" s="51">
        <f t="shared" ref="T22:U22" si="9">+SUM(T16:T21)</f>
        <v>1492</v>
      </c>
      <c r="U22" s="51">
        <f t="shared" si="9"/>
        <v>1009</v>
      </c>
      <c r="W22" s="51">
        <f t="shared" ref="W22:X22" si="10">+SUM(W16:W21)</f>
        <v>1469</v>
      </c>
      <c r="X22" s="51">
        <f t="shared" si="10"/>
        <v>1015</v>
      </c>
      <c r="Z22" s="51">
        <f t="shared" ref="Z22:AA22" si="11">+SUM(Z16:Z21)</f>
        <v>1143</v>
      </c>
      <c r="AA22" s="51">
        <f t="shared" si="11"/>
        <v>1093</v>
      </c>
      <c r="AC22" s="51">
        <f t="shared" ref="AC22:AD22" si="12">+SUM(AC16:AC21)</f>
        <v>1463</v>
      </c>
      <c r="AD22" s="51">
        <f t="shared" si="12"/>
        <v>749</v>
      </c>
      <c r="AF22" s="96"/>
      <c r="AG22" s="96"/>
      <c r="AH22" s="96"/>
      <c r="AI22" s="96"/>
    </row>
  </sheetData>
  <mergeCells count="18">
    <mergeCell ref="C2:G2"/>
    <mergeCell ref="I2:O2"/>
    <mergeCell ref="C3:G3"/>
    <mergeCell ref="I3:J3"/>
    <mergeCell ref="L3:O3"/>
    <mergeCell ref="AG11:AG14"/>
    <mergeCell ref="AH11:AH14"/>
    <mergeCell ref="AF2:AI3"/>
    <mergeCell ref="Q3:R3"/>
    <mergeCell ref="T3:U3"/>
    <mergeCell ref="W3:X3"/>
    <mergeCell ref="Z3:AA3"/>
    <mergeCell ref="AC3:AD3"/>
    <mergeCell ref="Z6:Z8"/>
    <mergeCell ref="AA6:AA8"/>
    <mergeCell ref="AC6:AC8"/>
    <mergeCell ref="AD6:AD8"/>
    <mergeCell ref="AI11:AI14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1" manualBreakCount="1">
    <brk id="1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21"/>
  <sheetViews>
    <sheetView zoomScale="75" zoomScaleNormal="75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2.7109375" style="191" customWidth="1"/>
    <col min="2" max="2" width="1.7109375" style="191" customWidth="1"/>
    <col min="3" max="5" width="12.7109375" style="191" customWidth="1"/>
    <col min="6" max="6" width="14.7109375" style="191" customWidth="1"/>
    <col min="7" max="7" width="1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2.7109375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9" width="14" style="191" customWidth="1"/>
    <col min="30" max="30" width="1.7109375" style="191" customWidth="1"/>
    <col min="31" max="32" width="14" style="191" customWidth="1"/>
    <col min="33" max="33" width="1.7109375" style="191" customWidth="1"/>
    <col min="34" max="36" width="14" style="191" customWidth="1"/>
    <col min="37" max="37" width="1.7109375" style="191" customWidth="1"/>
    <col min="38" max="39" width="14" style="191" customWidth="1"/>
    <col min="40" max="40" width="1.7109375" style="191" customWidth="1"/>
    <col min="41" max="42" width="14" style="191" customWidth="1"/>
    <col min="43" max="43" width="1.7109375" style="191" customWidth="1"/>
    <col min="44" max="45" width="14" style="191" customWidth="1"/>
    <col min="46" max="46" width="1.7109375" style="191" customWidth="1"/>
    <col min="47" max="47" width="13.42578125" style="191" customWidth="1"/>
    <col min="48" max="49" width="9.5703125" style="191" customWidth="1"/>
    <col min="50" max="70" width="13.42578125" style="191" customWidth="1"/>
    <col min="71" max="16384" width="9.140625" style="191"/>
  </cols>
  <sheetData>
    <row r="2" spans="1:50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80"/>
      <c r="X2" s="81"/>
      <c r="Z2" s="112"/>
      <c r="AA2" s="125"/>
      <c r="AB2" s="125"/>
      <c r="AC2" s="113"/>
      <c r="AE2" s="224" t="s">
        <v>261</v>
      </c>
      <c r="AF2" s="226"/>
      <c r="AH2" s="224" t="s">
        <v>148</v>
      </c>
      <c r="AI2" s="225"/>
      <c r="AJ2" s="226"/>
      <c r="AL2" s="80"/>
      <c r="AM2" s="81"/>
      <c r="AO2" s="80"/>
      <c r="AP2" s="81"/>
      <c r="AR2" s="80"/>
      <c r="AS2" s="81"/>
      <c r="AU2" s="234" t="s">
        <v>5</v>
      </c>
      <c r="AV2" s="235"/>
      <c r="AW2" s="235"/>
      <c r="AX2" s="236"/>
    </row>
    <row r="3" spans="1:50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125</v>
      </c>
      <c r="X3" s="223"/>
      <c r="Z3" s="222" t="s">
        <v>261</v>
      </c>
      <c r="AA3" s="227"/>
      <c r="AB3" s="227"/>
      <c r="AC3" s="223"/>
      <c r="AE3" s="222" t="s">
        <v>356</v>
      </c>
      <c r="AF3" s="223"/>
      <c r="AH3" s="222" t="s">
        <v>151</v>
      </c>
      <c r="AI3" s="227"/>
      <c r="AJ3" s="223"/>
      <c r="AL3" s="222" t="s">
        <v>126</v>
      </c>
      <c r="AM3" s="223"/>
      <c r="AO3" s="222" t="s">
        <v>127</v>
      </c>
      <c r="AP3" s="223"/>
      <c r="AR3" s="222" t="s">
        <v>541</v>
      </c>
      <c r="AS3" s="223"/>
      <c r="AU3" s="219"/>
      <c r="AV3" s="220"/>
      <c r="AW3" s="220"/>
      <c r="AX3" s="221"/>
    </row>
    <row r="4" spans="1:50" ht="5.0999999999999996" customHeight="1" thickBot="1" x14ac:dyDescent="0.3">
      <c r="C4" s="115"/>
      <c r="D4" s="117"/>
      <c r="E4" s="117"/>
      <c r="F4" s="117"/>
      <c r="G4" s="116"/>
      <c r="I4" s="115"/>
      <c r="J4" s="117"/>
      <c r="K4" s="140"/>
      <c r="L4" s="68"/>
      <c r="M4" s="68"/>
      <c r="N4" s="68"/>
      <c r="O4" s="69"/>
      <c r="Q4" s="82"/>
      <c r="R4" s="83"/>
      <c r="T4" s="82"/>
      <c r="U4" s="83"/>
      <c r="W4" s="82"/>
      <c r="X4" s="83"/>
      <c r="Z4" s="183"/>
      <c r="AA4" s="184"/>
      <c r="AB4" s="184"/>
      <c r="AC4" s="185"/>
      <c r="AE4" s="183"/>
      <c r="AF4" s="185"/>
      <c r="AH4" s="183"/>
      <c r="AI4" s="184"/>
      <c r="AJ4" s="185"/>
      <c r="AL4" s="75"/>
      <c r="AM4" s="74"/>
      <c r="AO4" s="75"/>
      <c r="AP4" s="74"/>
      <c r="AR4" s="75"/>
      <c r="AS4" s="74"/>
      <c r="AU4" s="204"/>
      <c r="AV4" s="205"/>
      <c r="AW4" s="205"/>
      <c r="AX4" s="206"/>
    </row>
    <row r="5" spans="1:50" x14ac:dyDescent="0.25">
      <c r="C5" s="5"/>
      <c r="D5" s="8"/>
      <c r="E5" s="8"/>
      <c r="F5" s="8"/>
      <c r="G5" s="6"/>
      <c r="I5" s="5"/>
      <c r="J5" s="6"/>
      <c r="L5" s="89"/>
      <c r="M5" s="98"/>
      <c r="N5" s="98"/>
      <c r="O5" s="6"/>
      <c r="Q5" s="5"/>
      <c r="R5" s="6"/>
      <c r="T5" s="5"/>
      <c r="U5" s="6"/>
      <c r="W5" s="10"/>
      <c r="X5" s="12"/>
      <c r="Z5" s="5"/>
      <c r="AA5" s="8"/>
      <c r="AB5" s="8"/>
      <c r="AC5" s="6"/>
      <c r="AE5" s="5"/>
      <c r="AF5" s="6"/>
      <c r="AH5" s="5"/>
      <c r="AI5" s="8"/>
      <c r="AJ5" s="6"/>
      <c r="AL5" s="10"/>
      <c r="AM5" s="12"/>
      <c r="AO5" s="10"/>
      <c r="AP5" s="12"/>
      <c r="AR5" s="10"/>
      <c r="AS5" s="12"/>
      <c r="AU5" s="157"/>
      <c r="AV5" s="158"/>
      <c r="AW5" s="158"/>
      <c r="AX5" s="159"/>
    </row>
    <row r="6" spans="1:50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20" t="str">
        <f>+'Lead Sheet'!S6</f>
        <v>Vince</v>
      </c>
      <c r="J6" s="21" t="str">
        <f>+'Lead Sheet'!T6</f>
        <v>Vince</v>
      </c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Q6" s="20" t="str">
        <f>+'Lead Sheet'!AR6</f>
        <v>Joseph J.</v>
      </c>
      <c r="R6" s="21" t="str">
        <f>+'Lead Sheet'!AS6</f>
        <v>Lisa</v>
      </c>
      <c r="T6" s="20" t="str">
        <f>+'Lead Sheet'!AU6</f>
        <v>Frank X.</v>
      </c>
      <c r="U6" s="21" t="str">
        <f>+'Lead Sheet'!AV6</f>
        <v>Celeste</v>
      </c>
      <c r="W6" s="20" t="str">
        <f>+'Lead Sheet'!BD6</f>
        <v>James</v>
      </c>
      <c r="X6" s="21" t="str">
        <f>+'Lead Sheet'!BE6</f>
        <v>Dr. William</v>
      </c>
      <c r="Z6" s="20" t="s">
        <v>523</v>
      </c>
      <c r="AA6" s="7" t="s">
        <v>525</v>
      </c>
      <c r="AB6" s="7" t="s">
        <v>527</v>
      </c>
      <c r="AC6" s="21" t="s">
        <v>529</v>
      </c>
      <c r="AE6" s="20" t="s">
        <v>531</v>
      </c>
      <c r="AF6" s="21" t="s">
        <v>533</v>
      </c>
      <c r="AH6" s="20" t="s">
        <v>535</v>
      </c>
      <c r="AI6" s="7" t="s">
        <v>537</v>
      </c>
      <c r="AJ6" s="21" t="s">
        <v>539</v>
      </c>
      <c r="AL6" s="229" t="s">
        <v>9</v>
      </c>
      <c r="AM6" s="230" t="s">
        <v>10</v>
      </c>
      <c r="AO6" s="229" t="s">
        <v>9</v>
      </c>
      <c r="AP6" s="230" t="s">
        <v>10</v>
      </c>
      <c r="AR6" s="229" t="s">
        <v>9</v>
      </c>
      <c r="AS6" s="230" t="s">
        <v>10</v>
      </c>
      <c r="AU6" s="160" t="s">
        <v>8</v>
      </c>
      <c r="AV6" s="161" t="s">
        <v>8</v>
      </c>
      <c r="AW6" s="161" t="s">
        <v>8</v>
      </c>
      <c r="AX6" s="162" t="s">
        <v>8</v>
      </c>
    </row>
    <row r="7" spans="1:50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20" t="str">
        <f>+'Lead Sheet'!S7</f>
        <v>POLISTINA</v>
      </c>
      <c r="J7" s="21" t="str">
        <f>+'Lead Sheet'!T7</f>
        <v>MAZZEO</v>
      </c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Q7" s="20" t="str">
        <f>+'Lead Sheet'!AR7</f>
        <v>GIRALO</v>
      </c>
      <c r="R7" s="21" t="str">
        <f>+'Lead Sheet'!AS7</f>
        <v>JIAMPETTI</v>
      </c>
      <c r="T7" s="20" t="str">
        <f>+'Lead Sheet'!AU7</f>
        <v>BALLES</v>
      </c>
      <c r="U7" s="21" t="str">
        <f>+'Lead Sheet'!AV7</f>
        <v>FERNANDEZ</v>
      </c>
      <c r="W7" s="20" t="str">
        <f>+'Lead Sheet'!BD7</f>
        <v>BERTINO</v>
      </c>
      <c r="X7" s="21" t="str">
        <f>+'Lead Sheet'!BE7</f>
        <v>BEYERS</v>
      </c>
      <c r="Z7" s="20" t="s">
        <v>524</v>
      </c>
      <c r="AA7" s="7" t="s">
        <v>526</v>
      </c>
      <c r="AB7" s="7" t="s">
        <v>528</v>
      </c>
      <c r="AC7" s="21" t="s">
        <v>530</v>
      </c>
      <c r="AE7" s="20" t="s">
        <v>532</v>
      </c>
      <c r="AF7" s="21" t="s">
        <v>534</v>
      </c>
      <c r="AH7" s="20" t="s">
        <v>536</v>
      </c>
      <c r="AI7" s="7" t="s">
        <v>538</v>
      </c>
      <c r="AJ7" s="21" t="s">
        <v>540</v>
      </c>
      <c r="AL7" s="229"/>
      <c r="AM7" s="230"/>
      <c r="AO7" s="229"/>
      <c r="AP7" s="230"/>
      <c r="AR7" s="229"/>
      <c r="AS7" s="230"/>
      <c r="AU7" s="160" t="s">
        <v>12</v>
      </c>
      <c r="AV7" s="161" t="s">
        <v>144</v>
      </c>
      <c r="AW7" s="161" t="s">
        <v>13</v>
      </c>
      <c r="AX7" s="162" t="s">
        <v>14</v>
      </c>
    </row>
    <row r="8" spans="1:50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20" t="str">
        <f>+'Lead Sheet'!S8</f>
        <v>Republican</v>
      </c>
      <c r="J8" s="21" t="str">
        <f>+'Lead Sheet'!T8</f>
        <v>Democrat</v>
      </c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Q8" s="20" t="str">
        <f>+'Lead Sheet'!AR8</f>
        <v>Republican</v>
      </c>
      <c r="R8" s="21" t="str">
        <f>+'Lead Sheet'!AS8</f>
        <v>Democrat</v>
      </c>
      <c r="T8" s="20" t="str">
        <f>+'Lead Sheet'!AU8</f>
        <v>Republican</v>
      </c>
      <c r="U8" s="21" t="str">
        <f>+'Lead Sheet'!AV8</f>
        <v>Democrat</v>
      </c>
      <c r="W8" s="20" t="str">
        <f>+'Lead Sheet'!BD8</f>
        <v>Republican</v>
      </c>
      <c r="X8" s="21" t="str">
        <f>+'Lead Sheet'!BE8</f>
        <v>Democrat</v>
      </c>
      <c r="Z8" s="20" t="s">
        <v>16</v>
      </c>
      <c r="AA8" s="7" t="s">
        <v>16</v>
      </c>
      <c r="AB8" s="7" t="s">
        <v>59</v>
      </c>
      <c r="AC8" s="21" t="s">
        <v>59</v>
      </c>
      <c r="AE8" s="20" t="s">
        <v>16</v>
      </c>
      <c r="AF8" s="21" t="s">
        <v>59</v>
      </c>
      <c r="AH8" s="20"/>
      <c r="AI8" s="7"/>
      <c r="AJ8" s="21"/>
      <c r="AL8" s="229"/>
      <c r="AM8" s="230"/>
      <c r="AO8" s="229"/>
      <c r="AP8" s="230"/>
      <c r="AR8" s="229"/>
      <c r="AS8" s="230"/>
      <c r="AU8" s="160" t="s">
        <v>18</v>
      </c>
      <c r="AV8" s="161" t="s">
        <v>145</v>
      </c>
      <c r="AW8" s="161" t="s">
        <v>19</v>
      </c>
      <c r="AX8" s="162" t="s">
        <v>18</v>
      </c>
    </row>
    <row r="9" spans="1:50" x14ac:dyDescent="0.25">
      <c r="C9" s="60"/>
      <c r="D9" s="31"/>
      <c r="E9" s="31"/>
      <c r="F9" s="31"/>
      <c r="G9" s="61" t="str">
        <f>+'Lead Sheet'!G9</f>
        <v>Party</v>
      </c>
      <c r="I9" s="20"/>
      <c r="J9" s="21"/>
      <c r="L9" s="20"/>
      <c r="M9" s="7"/>
      <c r="N9" s="7"/>
      <c r="O9" s="21"/>
      <c r="Q9" s="20"/>
      <c r="R9" s="21"/>
      <c r="T9" s="20"/>
      <c r="U9" s="21"/>
      <c r="W9" s="20"/>
      <c r="X9" s="21"/>
      <c r="Z9" s="20"/>
      <c r="AA9" s="7"/>
      <c r="AB9" s="7"/>
      <c r="AC9" s="21"/>
      <c r="AE9" s="20"/>
      <c r="AF9" s="21"/>
      <c r="AH9" s="20"/>
      <c r="AI9" s="7"/>
      <c r="AJ9" s="21"/>
      <c r="AL9" s="27"/>
      <c r="AM9" s="28"/>
      <c r="AO9" s="27"/>
      <c r="AP9" s="28"/>
      <c r="AR9" s="27"/>
      <c r="AS9" s="28"/>
      <c r="AU9" s="164"/>
      <c r="AV9" s="163"/>
      <c r="AW9" s="163"/>
      <c r="AX9" s="165"/>
    </row>
    <row r="10" spans="1:50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136"/>
      <c r="X10" s="137"/>
      <c r="Z10" s="33"/>
      <c r="AA10" s="34"/>
      <c r="AB10" s="34"/>
      <c r="AC10" s="35"/>
      <c r="AE10" s="33"/>
      <c r="AF10" s="35"/>
      <c r="AH10" s="33"/>
      <c r="AI10" s="34"/>
      <c r="AJ10" s="35"/>
      <c r="AL10" s="36"/>
      <c r="AM10" s="38"/>
      <c r="AO10" s="36"/>
      <c r="AP10" s="38"/>
      <c r="AR10" s="36"/>
      <c r="AS10" s="38"/>
      <c r="AU10" s="166"/>
      <c r="AV10" s="167"/>
      <c r="AW10" s="167"/>
      <c r="AX10" s="168"/>
    </row>
    <row r="11" spans="1:50" x14ac:dyDescent="0.25">
      <c r="A11" s="191" t="s">
        <v>520</v>
      </c>
      <c r="B11" s="132"/>
      <c r="C11" s="40">
        <v>266</v>
      </c>
      <c r="D11" s="40">
        <v>178</v>
      </c>
      <c r="E11" s="40">
        <v>1</v>
      </c>
      <c r="F11" s="40">
        <v>2</v>
      </c>
      <c r="G11" s="40">
        <v>0</v>
      </c>
      <c r="I11" s="40">
        <v>265</v>
      </c>
      <c r="J11" s="40">
        <v>172</v>
      </c>
      <c r="L11" s="40">
        <v>252</v>
      </c>
      <c r="M11" s="40">
        <v>254</v>
      </c>
      <c r="N11" s="40">
        <v>176</v>
      </c>
      <c r="O11" s="40">
        <v>171</v>
      </c>
      <c r="Q11" s="40">
        <v>248</v>
      </c>
      <c r="R11" s="40">
        <v>182</v>
      </c>
      <c r="T11" s="40">
        <v>273</v>
      </c>
      <c r="U11" s="40">
        <v>160</v>
      </c>
      <c r="W11" s="40">
        <v>268</v>
      </c>
      <c r="X11" s="40">
        <v>160</v>
      </c>
      <c r="Z11" s="59">
        <v>254</v>
      </c>
      <c r="AA11" s="59">
        <v>242</v>
      </c>
      <c r="AB11" s="59">
        <v>179</v>
      </c>
      <c r="AC11" s="59">
        <v>195</v>
      </c>
      <c r="AE11" s="59">
        <v>255</v>
      </c>
      <c r="AF11" s="59">
        <v>182</v>
      </c>
      <c r="AH11" s="59">
        <v>200</v>
      </c>
      <c r="AI11" s="59">
        <v>175</v>
      </c>
      <c r="AJ11" s="59">
        <v>197</v>
      </c>
      <c r="AL11" s="40">
        <v>179</v>
      </c>
      <c r="AM11" s="40">
        <v>190</v>
      </c>
      <c r="AO11" s="40">
        <v>225</v>
      </c>
      <c r="AP11" s="40">
        <v>136</v>
      </c>
      <c r="AR11" s="40">
        <v>161</v>
      </c>
      <c r="AS11" s="40">
        <v>197</v>
      </c>
      <c r="AU11" s="40">
        <v>452</v>
      </c>
      <c r="AV11" s="237">
        <v>111</v>
      </c>
      <c r="AW11" s="237">
        <v>301</v>
      </c>
      <c r="AX11" s="238">
        <f>1+37</f>
        <v>38</v>
      </c>
    </row>
    <row r="12" spans="1:50" x14ac:dyDescent="0.25">
      <c r="A12" s="191" t="s">
        <v>521</v>
      </c>
      <c r="B12" s="132"/>
      <c r="C12" s="40">
        <v>445</v>
      </c>
      <c r="D12" s="40">
        <v>154</v>
      </c>
      <c r="E12" s="40">
        <v>2</v>
      </c>
      <c r="F12" s="40">
        <v>0</v>
      </c>
      <c r="G12" s="40">
        <v>1</v>
      </c>
      <c r="I12" s="40">
        <v>431</v>
      </c>
      <c r="J12" s="40">
        <v>158</v>
      </c>
      <c r="L12" s="40">
        <v>406</v>
      </c>
      <c r="M12" s="40">
        <v>414</v>
      </c>
      <c r="N12" s="40">
        <v>166</v>
      </c>
      <c r="O12" s="40">
        <v>148</v>
      </c>
      <c r="Q12" s="40">
        <v>427</v>
      </c>
      <c r="R12" s="40">
        <v>162</v>
      </c>
      <c r="T12" s="40">
        <v>434</v>
      </c>
      <c r="U12" s="40">
        <v>150</v>
      </c>
      <c r="W12" s="40">
        <v>448</v>
      </c>
      <c r="X12" s="40">
        <v>134</v>
      </c>
      <c r="Z12" s="40">
        <v>422</v>
      </c>
      <c r="AA12" s="40">
        <v>399</v>
      </c>
      <c r="AB12" s="40">
        <v>169</v>
      </c>
      <c r="AC12" s="40">
        <v>182</v>
      </c>
      <c r="AE12" s="40">
        <v>415</v>
      </c>
      <c r="AF12" s="40">
        <v>163</v>
      </c>
      <c r="AH12" s="40">
        <v>349</v>
      </c>
      <c r="AI12" s="40">
        <v>326</v>
      </c>
      <c r="AJ12" s="40">
        <v>351</v>
      </c>
      <c r="AL12" s="40">
        <v>229</v>
      </c>
      <c r="AM12" s="40">
        <v>314</v>
      </c>
      <c r="AO12" s="40">
        <v>340</v>
      </c>
      <c r="AP12" s="40">
        <v>185</v>
      </c>
      <c r="AR12" s="40">
        <v>214</v>
      </c>
      <c r="AS12" s="40">
        <v>304</v>
      </c>
      <c r="AU12" s="40">
        <v>609</v>
      </c>
      <c r="AV12" s="232"/>
      <c r="AW12" s="232"/>
      <c r="AX12" s="239"/>
    </row>
    <row r="13" spans="1:50" x14ac:dyDescent="0.25">
      <c r="A13" s="191" t="s">
        <v>522</v>
      </c>
      <c r="B13" s="132"/>
      <c r="C13" s="40">
        <v>564</v>
      </c>
      <c r="D13" s="40">
        <v>139</v>
      </c>
      <c r="E13" s="40">
        <v>2</v>
      </c>
      <c r="F13" s="40">
        <v>3</v>
      </c>
      <c r="G13" s="40">
        <v>0</v>
      </c>
      <c r="I13" s="40">
        <v>529</v>
      </c>
      <c r="J13" s="40">
        <v>169</v>
      </c>
      <c r="L13" s="40">
        <v>503</v>
      </c>
      <c r="M13" s="40">
        <v>530</v>
      </c>
      <c r="N13" s="40">
        <v>163</v>
      </c>
      <c r="O13" s="40">
        <v>147</v>
      </c>
      <c r="Q13" s="40">
        <v>514</v>
      </c>
      <c r="R13" s="40">
        <v>175</v>
      </c>
      <c r="T13" s="40">
        <v>552</v>
      </c>
      <c r="U13" s="40">
        <v>134</v>
      </c>
      <c r="W13" s="40">
        <v>542</v>
      </c>
      <c r="X13" s="40">
        <v>137</v>
      </c>
      <c r="Z13" s="40">
        <v>512</v>
      </c>
      <c r="AA13" s="40">
        <v>481</v>
      </c>
      <c r="AB13" s="40">
        <v>173</v>
      </c>
      <c r="AC13" s="40">
        <v>198</v>
      </c>
      <c r="AE13" s="40">
        <v>504</v>
      </c>
      <c r="AF13" s="40">
        <v>176</v>
      </c>
      <c r="AH13" s="40">
        <v>329</v>
      </c>
      <c r="AI13" s="40">
        <v>325</v>
      </c>
      <c r="AJ13" s="40">
        <v>325</v>
      </c>
      <c r="AL13" s="40">
        <v>266</v>
      </c>
      <c r="AM13" s="40">
        <v>355</v>
      </c>
      <c r="AO13" s="40">
        <v>355</v>
      </c>
      <c r="AP13" s="40">
        <v>252</v>
      </c>
      <c r="AR13" s="40">
        <v>215</v>
      </c>
      <c r="AS13" s="40">
        <v>355</v>
      </c>
      <c r="AU13" s="40">
        <v>713</v>
      </c>
      <c r="AV13" s="233"/>
      <c r="AW13" s="233"/>
      <c r="AX13" s="240"/>
    </row>
    <row r="14" spans="1:50" ht="15.75" thickBot="1" x14ac:dyDescent="0.3"/>
    <row r="15" spans="1:50" ht="15.75" thickBot="1" x14ac:dyDescent="0.3">
      <c r="A15" s="50" t="s">
        <v>8</v>
      </c>
      <c r="B15" s="192"/>
      <c r="C15" s="51">
        <f>+SUM(C11:C13)</f>
        <v>1275</v>
      </c>
      <c r="D15" s="51">
        <f t="shared" ref="D15:N15" si="0">+SUM(D11:D13)</f>
        <v>471</v>
      </c>
      <c r="E15" s="51">
        <f t="shared" si="0"/>
        <v>5</v>
      </c>
      <c r="F15" s="51">
        <f t="shared" si="0"/>
        <v>5</v>
      </c>
      <c r="G15" s="51">
        <f t="shared" si="0"/>
        <v>1</v>
      </c>
      <c r="I15" s="51">
        <f t="shared" si="0"/>
        <v>1225</v>
      </c>
      <c r="J15" s="51">
        <f t="shared" si="0"/>
        <v>499</v>
      </c>
      <c r="L15" s="51">
        <f t="shared" si="0"/>
        <v>1161</v>
      </c>
      <c r="M15" s="51">
        <f t="shared" si="0"/>
        <v>1198</v>
      </c>
      <c r="N15" s="51">
        <f t="shared" si="0"/>
        <v>505</v>
      </c>
      <c r="O15" s="51">
        <f t="shared" ref="O15:AP15" si="1">+SUM(O11:O13)</f>
        <v>466</v>
      </c>
      <c r="Q15" s="51">
        <f t="shared" ref="Q15:Z15" si="2">+SUM(Q11:Q13)</f>
        <v>1189</v>
      </c>
      <c r="R15" s="51">
        <f t="shared" si="2"/>
        <v>519</v>
      </c>
      <c r="T15" s="51">
        <f t="shared" si="2"/>
        <v>1259</v>
      </c>
      <c r="U15" s="51">
        <f t="shared" si="2"/>
        <v>444</v>
      </c>
      <c r="W15" s="51">
        <f t="shared" si="2"/>
        <v>1258</v>
      </c>
      <c r="X15" s="51">
        <f t="shared" si="2"/>
        <v>431</v>
      </c>
      <c r="Z15" s="51">
        <f t="shared" si="2"/>
        <v>1188</v>
      </c>
      <c r="AA15" s="51">
        <f t="shared" si="1"/>
        <v>1122</v>
      </c>
      <c r="AB15" s="51">
        <f t="shared" si="1"/>
        <v>521</v>
      </c>
      <c r="AC15" s="51">
        <f t="shared" si="1"/>
        <v>575</v>
      </c>
      <c r="AE15" s="51">
        <f t="shared" si="1"/>
        <v>1174</v>
      </c>
      <c r="AF15" s="51">
        <f t="shared" si="1"/>
        <v>521</v>
      </c>
      <c r="AH15" s="51">
        <f t="shared" si="1"/>
        <v>878</v>
      </c>
      <c r="AI15" s="51">
        <f t="shared" si="1"/>
        <v>826</v>
      </c>
      <c r="AJ15" s="51">
        <f t="shared" si="1"/>
        <v>873</v>
      </c>
      <c r="AL15" s="51">
        <f t="shared" si="1"/>
        <v>674</v>
      </c>
      <c r="AM15" s="51">
        <f t="shared" si="1"/>
        <v>859</v>
      </c>
      <c r="AO15" s="51">
        <f t="shared" si="1"/>
        <v>920</v>
      </c>
      <c r="AP15" s="51">
        <f t="shared" si="1"/>
        <v>573</v>
      </c>
      <c r="AR15" s="51">
        <f t="shared" ref="AR15:AS15" si="3">+SUM(AR11:AR13)</f>
        <v>590</v>
      </c>
      <c r="AS15" s="51">
        <f t="shared" si="3"/>
        <v>856</v>
      </c>
      <c r="AU15" s="51">
        <f t="shared" ref="AU15:AX15" si="4">+SUM(AU11:AU13)</f>
        <v>1774</v>
      </c>
      <c r="AV15" s="51">
        <f t="shared" si="4"/>
        <v>111</v>
      </c>
      <c r="AW15" s="51">
        <f t="shared" si="4"/>
        <v>301</v>
      </c>
      <c r="AX15" s="51">
        <f t="shared" si="4"/>
        <v>38</v>
      </c>
    </row>
    <row r="16" spans="1:50" x14ac:dyDescent="0.25">
      <c r="A16" s="92" t="s">
        <v>146</v>
      </c>
      <c r="B16" s="192"/>
      <c r="C16" s="53">
        <v>63</v>
      </c>
      <c r="D16" s="53">
        <v>46</v>
      </c>
      <c r="E16" s="53">
        <v>1</v>
      </c>
      <c r="F16" s="53">
        <v>0</v>
      </c>
      <c r="G16" s="53">
        <v>0</v>
      </c>
      <c r="I16" s="53">
        <v>59</v>
      </c>
      <c r="J16" s="53">
        <v>50</v>
      </c>
      <c r="L16" s="53">
        <v>59</v>
      </c>
      <c r="M16" s="53">
        <v>59</v>
      </c>
      <c r="N16" s="53">
        <v>51</v>
      </c>
      <c r="O16" s="53">
        <v>46</v>
      </c>
      <c r="Q16" s="53">
        <v>59</v>
      </c>
      <c r="R16" s="53">
        <v>50</v>
      </c>
      <c r="T16" s="53">
        <v>69</v>
      </c>
      <c r="U16" s="53">
        <v>40</v>
      </c>
      <c r="W16" s="53">
        <v>69</v>
      </c>
      <c r="X16" s="53">
        <v>40</v>
      </c>
      <c r="Z16" s="53">
        <v>54</v>
      </c>
      <c r="AA16" s="53">
        <v>61</v>
      </c>
      <c r="AB16" s="53">
        <v>46</v>
      </c>
      <c r="AC16" s="53">
        <v>53</v>
      </c>
      <c r="AE16" s="53">
        <v>62</v>
      </c>
      <c r="AF16" s="53">
        <v>46</v>
      </c>
      <c r="AH16" s="53">
        <v>65</v>
      </c>
      <c r="AI16" s="53">
        <v>63</v>
      </c>
      <c r="AJ16" s="53">
        <v>65</v>
      </c>
      <c r="AL16" s="53">
        <v>44</v>
      </c>
      <c r="AM16" s="53">
        <v>59</v>
      </c>
      <c r="AO16" s="53">
        <v>60</v>
      </c>
      <c r="AP16" s="53">
        <v>43</v>
      </c>
      <c r="AR16" s="53">
        <v>34</v>
      </c>
      <c r="AS16" s="53">
        <v>69</v>
      </c>
      <c r="AU16" s="93"/>
      <c r="AV16" s="93"/>
      <c r="AW16" s="93"/>
      <c r="AX16" s="93"/>
    </row>
    <row r="17" spans="1:50" x14ac:dyDescent="0.25">
      <c r="A17" s="92" t="s">
        <v>43</v>
      </c>
      <c r="B17" s="192"/>
      <c r="C17" s="41">
        <v>114</v>
      </c>
      <c r="D17" s="41">
        <v>177</v>
      </c>
      <c r="E17" s="41">
        <v>2</v>
      </c>
      <c r="F17" s="41">
        <v>1</v>
      </c>
      <c r="G17" s="41">
        <v>0</v>
      </c>
      <c r="I17" s="41">
        <v>102</v>
      </c>
      <c r="J17" s="41">
        <v>191</v>
      </c>
      <c r="L17" s="41">
        <v>110</v>
      </c>
      <c r="M17" s="41">
        <v>107</v>
      </c>
      <c r="N17" s="41">
        <v>182</v>
      </c>
      <c r="O17" s="41">
        <v>176</v>
      </c>
      <c r="Q17" s="41">
        <v>108</v>
      </c>
      <c r="R17" s="41">
        <v>182</v>
      </c>
      <c r="T17" s="41">
        <v>128</v>
      </c>
      <c r="U17" s="41">
        <v>162</v>
      </c>
      <c r="W17" s="41">
        <v>118</v>
      </c>
      <c r="X17" s="41">
        <v>166</v>
      </c>
      <c r="Z17" s="41">
        <v>99</v>
      </c>
      <c r="AA17" s="41">
        <v>108</v>
      </c>
      <c r="AB17" s="41">
        <v>186</v>
      </c>
      <c r="AC17" s="41">
        <v>185</v>
      </c>
      <c r="AE17" s="41">
        <v>103</v>
      </c>
      <c r="AF17" s="41">
        <v>178</v>
      </c>
      <c r="AH17" s="41">
        <v>206</v>
      </c>
      <c r="AI17" s="41">
        <v>205</v>
      </c>
      <c r="AJ17" s="41">
        <v>186</v>
      </c>
      <c r="AL17" s="41">
        <v>95</v>
      </c>
      <c r="AM17" s="41">
        <v>172</v>
      </c>
      <c r="AO17" s="41">
        <v>175</v>
      </c>
      <c r="AP17" s="41">
        <v>90</v>
      </c>
      <c r="AR17" s="41">
        <v>121</v>
      </c>
      <c r="AS17" s="41">
        <v>145</v>
      </c>
      <c r="AU17" s="93"/>
      <c r="AV17" s="93"/>
      <c r="AW17" s="93"/>
      <c r="AX17" s="93"/>
    </row>
    <row r="18" spans="1:50" x14ac:dyDescent="0.25">
      <c r="A18" s="94" t="s">
        <v>644</v>
      </c>
      <c r="B18" s="192"/>
      <c r="C18" s="95">
        <v>0</v>
      </c>
      <c r="D18" s="95">
        <v>1</v>
      </c>
      <c r="E18" s="95">
        <v>0</v>
      </c>
      <c r="F18" s="95">
        <v>0</v>
      </c>
      <c r="G18" s="95">
        <v>0</v>
      </c>
      <c r="I18" s="95">
        <v>1</v>
      </c>
      <c r="J18" s="95">
        <v>0</v>
      </c>
      <c r="L18" s="95">
        <v>0</v>
      </c>
      <c r="M18" s="95">
        <v>1</v>
      </c>
      <c r="N18" s="95">
        <v>0</v>
      </c>
      <c r="O18" s="95">
        <v>1</v>
      </c>
      <c r="Q18" s="95">
        <v>0</v>
      </c>
      <c r="R18" s="95">
        <v>1</v>
      </c>
      <c r="T18" s="95">
        <v>0</v>
      </c>
      <c r="U18" s="95">
        <v>1</v>
      </c>
      <c r="W18" s="95">
        <v>0</v>
      </c>
      <c r="X18" s="95">
        <v>1</v>
      </c>
      <c r="Z18" s="95">
        <v>0</v>
      </c>
      <c r="AA18" s="95">
        <v>1</v>
      </c>
      <c r="AB18" s="95">
        <v>0</v>
      </c>
      <c r="AC18" s="95">
        <v>1</v>
      </c>
      <c r="AE18" s="95">
        <v>1</v>
      </c>
      <c r="AF18" s="95">
        <v>0</v>
      </c>
      <c r="AH18" s="95">
        <v>1</v>
      </c>
      <c r="AI18" s="95">
        <v>1</v>
      </c>
      <c r="AJ18" s="95">
        <v>1</v>
      </c>
      <c r="AL18" s="95">
        <v>0</v>
      </c>
      <c r="AM18" s="95">
        <v>1</v>
      </c>
      <c r="AO18" s="95">
        <v>1</v>
      </c>
      <c r="AP18" s="95">
        <v>0</v>
      </c>
      <c r="AR18" s="95">
        <v>0</v>
      </c>
      <c r="AS18" s="95">
        <v>1</v>
      </c>
      <c r="AU18" s="93"/>
      <c r="AV18" s="93"/>
      <c r="AW18" s="93"/>
      <c r="AX18" s="93"/>
    </row>
    <row r="19" spans="1:50" x14ac:dyDescent="0.25">
      <c r="A19" s="94" t="s">
        <v>645</v>
      </c>
      <c r="B19" s="192"/>
      <c r="C19" s="95">
        <v>24</v>
      </c>
      <c r="D19" s="95">
        <v>13</v>
      </c>
      <c r="E19" s="95">
        <v>0</v>
      </c>
      <c r="F19" s="95">
        <v>0</v>
      </c>
      <c r="G19" s="95">
        <v>0</v>
      </c>
      <c r="I19" s="95">
        <v>23</v>
      </c>
      <c r="J19" s="95">
        <v>14</v>
      </c>
      <c r="L19" s="95">
        <v>23</v>
      </c>
      <c r="M19" s="95">
        <v>23</v>
      </c>
      <c r="N19" s="95">
        <v>14</v>
      </c>
      <c r="O19" s="95">
        <v>13</v>
      </c>
      <c r="Q19" s="95">
        <v>24</v>
      </c>
      <c r="R19" s="95">
        <v>13</v>
      </c>
      <c r="T19" s="95">
        <v>23</v>
      </c>
      <c r="U19" s="95">
        <v>14</v>
      </c>
      <c r="W19" s="95">
        <v>23</v>
      </c>
      <c r="X19" s="95">
        <v>14</v>
      </c>
      <c r="Z19" s="95">
        <v>22</v>
      </c>
      <c r="AA19" s="95">
        <v>20</v>
      </c>
      <c r="AB19" s="95">
        <v>15</v>
      </c>
      <c r="AC19" s="95">
        <v>17</v>
      </c>
      <c r="AE19" s="95">
        <v>21</v>
      </c>
      <c r="AF19" s="95">
        <v>16</v>
      </c>
      <c r="AH19" s="95">
        <v>19</v>
      </c>
      <c r="AI19" s="95">
        <v>18</v>
      </c>
      <c r="AJ19" s="95">
        <v>23</v>
      </c>
      <c r="AL19" s="95">
        <v>14</v>
      </c>
      <c r="AM19" s="95">
        <v>13</v>
      </c>
      <c r="AO19" s="95">
        <v>20</v>
      </c>
      <c r="AP19" s="95">
        <v>7</v>
      </c>
      <c r="AR19" s="95">
        <v>15</v>
      </c>
      <c r="AS19" s="95">
        <v>12</v>
      </c>
      <c r="AU19" s="93"/>
      <c r="AV19" s="93"/>
      <c r="AW19" s="93"/>
      <c r="AX19" s="93"/>
    </row>
    <row r="20" spans="1:50" ht="15.75" thickBot="1" x14ac:dyDescent="0.3">
      <c r="A20" s="94" t="s">
        <v>651</v>
      </c>
      <c r="B20" s="192"/>
      <c r="C20" s="95">
        <f>5</f>
        <v>5</v>
      </c>
      <c r="D20" s="95">
        <f>2</f>
        <v>2</v>
      </c>
      <c r="E20" s="95">
        <v>0</v>
      </c>
      <c r="F20" s="95">
        <v>0</v>
      </c>
      <c r="G20" s="95">
        <v>0</v>
      </c>
      <c r="I20" s="95">
        <f>4</f>
        <v>4</v>
      </c>
      <c r="J20" s="95">
        <f>3</f>
        <v>3</v>
      </c>
      <c r="L20" s="95">
        <f>4</f>
        <v>4</v>
      </c>
      <c r="M20" s="95">
        <f>4</f>
        <v>4</v>
      </c>
      <c r="N20" s="95">
        <f>2</f>
        <v>2</v>
      </c>
      <c r="O20" s="95">
        <f>2</f>
        <v>2</v>
      </c>
      <c r="Q20" s="95">
        <f>5</f>
        <v>5</v>
      </c>
      <c r="R20" s="95">
        <f>4</f>
        <v>4</v>
      </c>
      <c r="T20" s="95">
        <f>5</f>
        <v>5</v>
      </c>
      <c r="U20" s="95">
        <f>3</f>
        <v>3</v>
      </c>
      <c r="W20" s="95">
        <v>4</v>
      </c>
      <c r="X20" s="95">
        <f>2</f>
        <v>2</v>
      </c>
      <c r="Z20" s="95">
        <f>5</f>
        <v>5</v>
      </c>
      <c r="AA20" s="95">
        <f>5</f>
        <v>5</v>
      </c>
      <c r="AB20" s="95">
        <f>2</f>
        <v>2</v>
      </c>
      <c r="AC20" s="95">
        <f>3</f>
        <v>3</v>
      </c>
      <c r="AE20" s="95">
        <f>5</f>
        <v>5</v>
      </c>
      <c r="AF20" s="95">
        <f>2</f>
        <v>2</v>
      </c>
      <c r="AH20" s="95">
        <f>3</f>
        <v>3</v>
      </c>
      <c r="AI20" s="95">
        <f>1</f>
        <v>1</v>
      </c>
      <c r="AJ20" s="95">
        <f>1</f>
        <v>1</v>
      </c>
      <c r="AL20" s="95">
        <f>2</f>
        <v>2</v>
      </c>
      <c r="AM20" s="95">
        <f>1</f>
        <v>1</v>
      </c>
      <c r="AO20" s="95">
        <f>3</f>
        <v>3</v>
      </c>
      <c r="AP20" s="95">
        <v>0</v>
      </c>
      <c r="AR20" s="95">
        <f>1</f>
        <v>1</v>
      </c>
      <c r="AS20" s="95">
        <f>1</f>
        <v>1</v>
      </c>
      <c r="AU20" s="93"/>
      <c r="AV20" s="93"/>
      <c r="AW20" s="93"/>
      <c r="AX20" s="93"/>
    </row>
    <row r="21" spans="1:50" ht="15.75" thickBot="1" x14ac:dyDescent="0.3">
      <c r="A21" s="50" t="s">
        <v>45</v>
      </c>
      <c r="B21" s="192"/>
      <c r="C21" s="51">
        <f>+SUM(C15:C20)</f>
        <v>1481</v>
      </c>
      <c r="D21" s="51">
        <f t="shared" ref="D21:G21" si="5">+SUM(D15:D20)</f>
        <v>710</v>
      </c>
      <c r="E21" s="51">
        <f t="shared" si="5"/>
        <v>8</v>
      </c>
      <c r="F21" s="51">
        <f t="shared" si="5"/>
        <v>6</v>
      </c>
      <c r="G21" s="51">
        <f t="shared" si="5"/>
        <v>1</v>
      </c>
      <c r="I21" s="51">
        <f t="shared" ref="I21:J21" si="6">+SUM(I15:I20)</f>
        <v>1414</v>
      </c>
      <c r="J21" s="51">
        <f t="shared" si="6"/>
        <v>757</v>
      </c>
      <c r="L21" s="51">
        <f t="shared" ref="L21:O21" si="7">+SUM(L15:L20)</f>
        <v>1357</v>
      </c>
      <c r="M21" s="51">
        <f t="shared" si="7"/>
        <v>1392</v>
      </c>
      <c r="N21" s="51">
        <f t="shared" si="7"/>
        <v>754</v>
      </c>
      <c r="O21" s="51">
        <f t="shared" si="7"/>
        <v>704</v>
      </c>
      <c r="Q21" s="51">
        <f t="shared" ref="Q21:R21" si="8">+SUM(Q15:Q20)</f>
        <v>1385</v>
      </c>
      <c r="R21" s="51">
        <f t="shared" si="8"/>
        <v>769</v>
      </c>
      <c r="T21" s="51">
        <f t="shared" ref="T21:U21" si="9">+SUM(T15:T20)</f>
        <v>1484</v>
      </c>
      <c r="U21" s="51">
        <f t="shared" si="9"/>
        <v>664</v>
      </c>
      <c r="W21" s="51">
        <f t="shared" ref="W21:X21" si="10">+SUM(W15:W20)</f>
        <v>1472</v>
      </c>
      <c r="X21" s="51">
        <f t="shared" si="10"/>
        <v>654</v>
      </c>
      <c r="Z21" s="51">
        <f t="shared" ref="Z21:AC21" si="11">+SUM(Z15:Z20)</f>
        <v>1368</v>
      </c>
      <c r="AA21" s="51">
        <f t="shared" si="11"/>
        <v>1317</v>
      </c>
      <c r="AB21" s="51">
        <f t="shared" si="11"/>
        <v>770</v>
      </c>
      <c r="AC21" s="51">
        <f t="shared" si="11"/>
        <v>834</v>
      </c>
      <c r="AE21" s="51">
        <f t="shared" ref="AE21:AF21" si="12">+SUM(AE15:AE20)</f>
        <v>1366</v>
      </c>
      <c r="AF21" s="51">
        <f t="shared" si="12"/>
        <v>763</v>
      </c>
      <c r="AH21" s="51">
        <f t="shared" ref="AH21:AJ21" si="13">+SUM(AH15:AH20)</f>
        <v>1172</v>
      </c>
      <c r="AI21" s="51">
        <f t="shared" si="13"/>
        <v>1114</v>
      </c>
      <c r="AJ21" s="51">
        <f t="shared" si="13"/>
        <v>1149</v>
      </c>
      <c r="AL21" s="51">
        <f t="shared" ref="AL21:AM21" si="14">+SUM(AL15:AL20)</f>
        <v>829</v>
      </c>
      <c r="AM21" s="51">
        <f t="shared" si="14"/>
        <v>1105</v>
      </c>
      <c r="AO21" s="51">
        <f t="shared" ref="AO21:AP21" si="15">+SUM(AO15:AO20)</f>
        <v>1179</v>
      </c>
      <c r="AP21" s="51">
        <f t="shared" si="15"/>
        <v>713</v>
      </c>
      <c r="AR21" s="51">
        <f t="shared" ref="AR21:AS21" si="16">+SUM(AR15:AR20)</f>
        <v>761</v>
      </c>
      <c r="AS21" s="51">
        <f t="shared" si="16"/>
        <v>1084</v>
      </c>
      <c r="AU21" s="96"/>
      <c r="AV21" s="96"/>
      <c r="AW21" s="96"/>
      <c r="AX21" s="96"/>
    </row>
  </sheetData>
  <mergeCells count="26">
    <mergeCell ref="C2:G2"/>
    <mergeCell ref="I2:O2"/>
    <mergeCell ref="C3:G3"/>
    <mergeCell ref="I3:J3"/>
    <mergeCell ref="L3:O3"/>
    <mergeCell ref="AO6:AO8"/>
    <mergeCell ref="AP6:AP8"/>
    <mergeCell ref="Q3:R3"/>
    <mergeCell ref="T3:U3"/>
    <mergeCell ref="W3:X3"/>
    <mergeCell ref="AX11:AX13"/>
    <mergeCell ref="AV11:AV13"/>
    <mergeCell ref="AW11:AW13"/>
    <mergeCell ref="AU2:AX3"/>
    <mergeCell ref="Z3:AC3"/>
    <mergeCell ref="AE3:AF3"/>
    <mergeCell ref="AE2:AF2"/>
    <mergeCell ref="AH2:AJ2"/>
    <mergeCell ref="AH3:AJ3"/>
    <mergeCell ref="AR3:AS3"/>
    <mergeCell ref="AR6:AR8"/>
    <mergeCell ref="AS6:AS8"/>
    <mergeCell ref="AL3:AM3"/>
    <mergeCell ref="AO3:AP3"/>
    <mergeCell ref="AL6:AL8"/>
    <mergeCell ref="AM6:AM8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zoomScale="75" zoomScaleNormal="75" workbookViewId="0">
      <pane xSplit="1" ySplit="11" topLeftCell="B1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.2851562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7" width="14" style="191" customWidth="1"/>
    <col min="28" max="28" width="1.7109375" style="191" customWidth="1"/>
    <col min="29" max="30" width="14" style="191" customWidth="1"/>
    <col min="31" max="31" width="1.7109375" style="191" customWidth="1"/>
    <col min="32" max="33" width="14" style="191" customWidth="1"/>
    <col min="34" max="34" width="1.7109375" style="191" customWidth="1"/>
    <col min="35" max="35" width="16.7109375" style="191" customWidth="1"/>
    <col min="36" max="36" width="1.7109375" style="191" customWidth="1"/>
    <col min="37" max="39" width="14" style="191" customWidth="1"/>
    <col min="40" max="40" width="1.7109375" style="191" customWidth="1"/>
    <col min="41" max="41" width="18.7109375" style="191" customWidth="1"/>
    <col min="42" max="42" width="1.7109375" style="191" customWidth="1"/>
    <col min="43" max="44" width="9.7109375" style="191" customWidth="1"/>
    <col min="45" max="45" width="1.7109375" style="191" customWidth="1"/>
    <col min="46" max="47" width="9.7109375" style="191" customWidth="1"/>
    <col min="48" max="48" width="1.7109375" style="191" customWidth="1"/>
    <col min="49" max="49" width="9.7109375" style="191" customWidth="1"/>
    <col min="50" max="51" width="9.5703125" style="191" customWidth="1"/>
    <col min="52" max="52" width="9.7109375" style="191" customWidth="1"/>
    <col min="53" max="72" width="13.42578125" style="191" customWidth="1"/>
    <col min="73" max="16384" width="9.140625" style="191"/>
  </cols>
  <sheetData>
    <row r="1" spans="1:52" x14ac:dyDescent="0.25">
      <c r="AO1" s="177" t="s">
        <v>453</v>
      </c>
    </row>
    <row r="2" spans="1:52" x14ac:dyDescent="0.25">
      <c r="AI2" s="177" t="s">
        <v>453</v>
      </c>
      <c r="AO2" s="178" t="s">
        <v>514</v>
      </c>
    </row>
    <row r="3" spans="1:52" x14ac:dyDescent="0.25">
      <c r="C3" s="224"/>
      <c r="D3" s="225"/>
      <c r="E3" s="225"/>
      <c r="F3" s="225"/>
      <c r="G3" s="226"/>
      <c r="I3" s="224" t="s">
        <v>2</v>
      </c>
      <c r="J3" s="225"/>
      <c r="K3" s="225"/>
      <c r="L3" s="225"/>
      <c r="M3" s="225"/>
      <c r="N3" s="225"/>
      <c r="O3" s="226"/>
      <c r="Q3" s="80"/>
      <c r="R3" s="81"/>
      <c r="T3" s="80"/>
      <c r="U3" s="81"/>
      <c r="W3" s="112"/>
      <c r="X3" s="113"/>
      <c r="Z3" s="112"/>
      <c r="AA3" s="113"/>
      <c r="AC3" s="224" t="s">
        <v>147</v>
      </c>
      <c r="AD3" s="226"/>
      <c r="AF3" s="224" t="s">
        <v>147</v>
      </c>
      <c r="AG3" s="226"/>
      <c r="AI3" s="178" t="s">
        <v>488</v>
      </c>
      <c r="AK3" s="224" t="s">
        <v>148</v>
      </c>
      <c r="AL3" s="225"/>
      <c r="AM3" s="226"/>
      <c r="AO3" s="178" t="s">
        <v>312</v>
      </c>
      <c r="AQ3" s="80"/>
      <c r="AR3" s="81"/>
      <c r="AT3" s="80"/>
      <c r="AU3" s="81"/>
      <c r="AW3" s="234" t="s">
        <v>5</v>
      </c>
      <c r="AX3" s="235"/>
      <c r="AY3" s="235"/>
      <c r="AZ3" s="236"/>
    </row>
    <row r="4" spans="1:52" x14ac:dyDescent="0.25">
      <c r="C4" s="222" t="s">
        <v>46</v>
      </c>
      <c r="D4" s="227"/>
      <c r="E4" s="227"/>
      <c r="F4" s="227"/>
      <c r="G4" s="223"/>
      <c r="I4" s="222" t="s">
        <v>88</v>
      </c>
      <c r="J4" s="227"/>
      <c r="K4" s="140"/>
      <c r="L4" s="227" t="s">
        <v>0</v>
      </c>
      <c r="M4" s="227"/>
      <c r="N4" s="227"/>
      <c r="O4" s="223"/>
      <c r="Q4" s="222" t="s">
        <v>121</v>
      </c>
      <c r="R4" s="223"/>
      <c r="T4" s="222" t="s">
        <v>122</v>
      </c>
      <c r="U4" s="223"/>
      <c r="W4" s="222" t="s">
        <v>123</v>
      </c>
      <c r="X4" s="223"/>
      <c r="Z4" s="222" t="s">
        <v>188</v>
      </c>
      <c r="AA4" s="223"/>
      <c r="AC4" s="222" t="s">
        <v>149</v>
      </c>
      <c r="AD4" s="223"/>
      <c r="AF4" s="222" t="s">
        <v>150</v>
      </c>
      <c r="AG4" s="223"/>
      <c r="AI4" s="178" t="s">
        <v>151</v>
      </c>
      <c r="AK4" s="222" t="s">
        <v>151</v>
      </c>
      <c r="AL4" s="227"/>
      <c r="AM4" s="223"/>
      <c r="AO4" s="178" t="s">
        <v>454</v>
      </c>
      <c r="AQ4" s="222" t="s">
        <v>126</v>
      </c>
      <c r="AR4" s="223"/>
      <c r="AT4" s="222" t="s">
        <v>127</v>
      </c>
      <c r="AU4" s="223"/>
      <c r="AW4" s="219"/>
      <c r="AX4" s="220"/>
      <c r="AY4" s="220"/>
      <c r="AZ4" s="221"/>
    </row>
    <row r="5" spans="1:52" ht="5.0999999999999996" customHeight="1" thickBot="1" x14ac:dyDescent="0.3">
      <c r="C5" s="115"/>
      <c r="D5" s="117"/>
      <c r="E5" s="117"/>
      <c r="F5" s="117"/>
      <c r="G5" s="116"/>
      <c r="I5" s="115"/>
      <c r="J5" s="117"/>
      <c r="K5" s="140"/>
      <c r="L5" s="68"/>
      <c r="M5" s="68"/>
      <c r="N5" s="68"/>
      <c r="O5" s="69"/>
      <c r="Q5" s="82"/>
      <c r="R5" s="83"/>
      <c r="T5" s="82"/>
      <c r="U5" s="83"/>
      <c r="W5" s="114"/>
      <c r="X5" s="74"/>
      <c r="Z5" s="183"/>
      <c r="AA5" s="185"/>
      <c r="AC5" s="183"/>
      <c r="AD5" s="185"/>
      <c r="AF5" s="183"/>
      <c r="AG5" s="185"/>
      <c r="AI5" s="202"/>
      <c r="AK5" s="183"/>
      <c r="AL5" s="184"/>
      <c r="AM5" s="185"/>
      <c r="AO5" s="202"/>
      <c r="AQ5" s="75"/>
      <c r="AR5" s="74"/>
      <c r="AT5" s="75"/>
      <c r="AU5" s="74"/>
      <c r="AW5" s="204"/>
      <c r="AX5" s="205"/>
      <c r="AY5" s="205"/>
      <c r="AZ5" s="206"/>
    </row>
    <row r="6" spans="1:52" x14ac:dyDescent="0.25">
      <c r="C6" s="5"/>
      <c r="D6" s="8"/>
      <c r="E6" s="8"/>
      <c r="F6" s="8"/>
      <c r="G6" s="6"/>
      <c r="I6" s="5"/>
      <c r="J6" s="6"/>
      <c r="L6" s="89"/>
      <c r="M6" s="98"/>
      <c r="N6" s="98"/>
      <c r="O6" s="6"/>
      <c r="Q6" s="5"/>
      <c r="R6" s="6"/>
      <c r="T6" s="5"/>
      <c r="U6" s="6"/>
      <c r="W6" s="10"/>
      <c r="X6" s="97"/>
      <c r="Z6" s="5"/>
      <c r="AA6" s="6"/>
      <c r="AC6" s="5"/>
      <c r="AD6" s="6"/>
      <c r="AF6" s="5"/>
      <c r="AG6" s="6"/>
      <c r="AI6" s="201"/>
      <c r="AK6" s="5"/>
      <c r="AL6" s="8"/>
      <c r="AM6" s="6"/>
      <c r="AO6" s="201"/>
      <c r="AQ6" s="10"/>
      <c r="AR6" s="12"/>
      <c r="AT6" s="10"/>
      <c r="AU6" s="12"/>
      <c r="AW6" s="157"/>
      <c r="AX6" s="158"/>
      <c r="AY6" s="158"/>
      <c r="AZ6" s="159"/>
    </row>
    <row r="7" spans="1:52" x14ac:dyDescent="0.25">
      <c r="C7" s="20" t="str">
        <f>+'Lead Sheet'!C6</f>
        <v>Jack</v>
      </c>
      <c r="D7" s="7" t="str">
        <f>+'Lead Sheet'!D6</f>
        <v>Philip</v>
      </c>
      <c r="E7" s="7" t="str">
        <f>+'Lead Sheet'!E6</f>
        <v>Madelyn R.</v>
      </c>
      <c r="F7" s="7" t="str">
        <f>+'Lead Sheet'!F6</f>
        <v>Gregg</v>
      </c>
      <c r="G7" s="21" t="str">
        <f>+'Lead Sheet'!G6</f>
        <v>Joanne</v>
      </c>
      <c r="I7" s="20" t="str">
        <f>+'Lead Sheet'!S6</f>
        <v>Vince</v>
      </c>
      <c r="J7" s="21" t="str">
        <f>+'Lead Sheet'!T6</f>
        <v>Vince</v>
      </c>
      <c r="L7" s="20" t="str">
        <f>+'Lead Sheet'!V6</f>
        <v>Don</v>
      </c>
      <c r="M7" s="7" t="str">
        <f>+'Lead Sheet'!W6</f>
        <v>Claire</v>
      </c>
      <c r="N7" s="7" t="str">
        <f>+'Lead Sheet'!X6</f>
        <v>John</v>
      </c>
      <c r="O7" s="21" t="str">
        <f>+'Lead Sheet'!Y6</f>
        <v>Caren</v>
      </c>
      <c r="Q7" s="20" t="str">
        <f>+'Lead Sheet'!AR6</f>
        <v>Joseph J.</v>
      </c>
      <c r="R7" s="21" t="str">
        <f>+'Lead Sheet'!AS6</f>
        <v>Lisa</v>
      </c>
      <c r="T7" s="20" t="str">
        <f>+'Lead Sheet'!AU6</f>
        <v>Frank X.</v>
      </c>
      <c r="U7" s="21" t="str">
        <f>+'Lead Sheet'!AV6</f>
        <v>Celeste</v>
      </c>
      <c r="W7" s="20" t="str">
        <f>+'Lead Sheet'!AX6</f>
        <v>Maureen</v>
      </c>
      <c r="X7" s="21" t="str">
        <f>+'Lead Sheet'!AY6</f>
        <v>Jelani</v>
      </c>
      <c r="Z7" s="20" t="s">
        <v>550</v>
      </c>
      <c r="AA7" s="21" t="s">
        <v>552</v>
      </c>
      <c r="AC7" s="20" t="s">
        <v>554</v>
      </c>
      <c r="AD7" s="21" t="s">
        <v>183</v>
      </c>
      <c r="AF7" s="20" t="s">
        <v>558</v>
      </c>
      <c r="AG7" s="21" t="s">
        <v>560</v>
      </c>
      <c r="AI7" s="193" t="s">
        <v>556</v>
      </c>
      <c r="AK7" s="20" t="s">
        <v>562</v>
      </c>
      <c r="AL7" s="7" t="s">
        <v>564</v>
      </c>
      <c r="AM7" s="21" t="s">
        <v>642</v>
      </c>
      <c r="AO7" s="193" t="s">
        <v>566</v>
      </c>
      <c r="AQ7" s="229" t="s">
        <v>9</v>
      </c>
      <c r="AR7" s="230" t="s">
        <v>10</v>
      </c>
      <c r="AT7" s="229" t="s">
        <v>9</v>
      </c>
      <c r="AU7" s="230" t="s">
        <v>10</v>
      </c>
      <c r="AW7" s="160" t="s">
        <v>8</v>
      </c>
      <c r="AX7" s="161" t="s">
        <v>8</v>
      </c>
      <c r="AY7" s="161" t="s">
        <v>8</v>
      </c>
      <c r="AZ7" s="162" t="s">
        <v>8</v>
      </c>
    </row>
    <row r="8" spans="1:52" ht="15" customHeight="1" x14ac:dyDescent="0.25">
      <c r="C8" s="20" t="str">
        <f>+'Lead Sheet'!C7</f>
        <v>CIATTARELLI</v>
      </c>
      <c r="D8" s="7" t="str">
        <f>+'Lead Sheet'!D7</f>
        <v>MURPHY</v>
      </c>
      <c r="E8" s="7" t="str">
        <f>+'Lead Sheet'!E7</f>
        <v>HOFFMAN</v>
      </c>
      <c r="F8" s="7" t="str">
        <f>+'Lead Sheet'!F7</f>
        <v>MELE</v>
      </c>
      <c r="G8" s="21" t="str">
        <f>+'Lead Sheet'!G7</f>
        <v>KUNIANSKY</v>
      </c>
      <c r="I8" s="20" t="str">
        <f>+'Lead Sheet'!S7</f>
        <v>POLISTINA</v>
      </c>
      <c r="J8" s="21" t="str">
        <f>+'Lead Sheet'!T7</f>
        <v>MAZZEO</v>
      </c>
      <c r="L8" s="20" t="str">
        <f>+'Lead Sheet'!V7</f>
        <v>GUARDIAN</v>
      </c>
      <c r="M8" s="7" t="str">
        <f>+'Lead Sheet'!W7</f>
        <v>SWIFT</v>
      </c>
      <c r="N8" s="7" t="str">
        <f>+'Lead Sheet'!X7</f>
        <v>ARMATO</v>
      </c>
      <c r="O8" s="21" t="str">
        <f>+'Lead Sheet'!Y7</f>
        <v>FITZPATRICK</v>
      </c>
      <c r="Q8" s="20" t="str">
        <f>+'Lead Sheet'!AR7</f>
        <v>GIRALO</v>
      </c>
      <c r="R8" s="21" t="str">
        <f>+'Lead Sheet'!AS7</f>
        <v>JIAMPETTI</v>
      </c>
      <c r="T8" s="20" t="str">
        <f>+'Lead Sheet'!AU7</f>
        <v>BALLES</v>
      </c>
      <c r="U8" s="21" t="str">
        <f>+'Lead Sheet'!AV7</f>
        <v>FERNANDEZ</v>
      </c>
      <c r="W8" s="20" t="str">
        <f>+'Lead Sheet'!AX7</f>
        <v>KERN</v>
      </c>
      <c r="X8" s="21" t="str">
        <f>+'Lead Sheet'!AY7</f>
        <v>GANDY</v>
      </c>
      <c r="Z8" s="20" t="s">
        <v>551</v>
      </c>
      <c r="AA8" s="21" t="s">
        <v>553</v>
      </c>
      <c r="AC8" s="20" t="s">
        <v>555</v>
      </c>
      <c r="AD8" s="21" t="s">
        <v>159</v>
      </c>
      <c r="AF8" s="20" t="s">
        <v>559</v>
      </c>
      <c r="AG8" s="21" t="s">
        <v>561</v>
      </c>
      <c r="AI8" s="193" t="s">
        <v>557</v>
      </c>
      <c r="AK8" s="20" t="s">
        <v>563</v>
      </c>
      <c r="AL8" s="7" t="s">
        <v>565</v>
      </c>
      <c r="AM8" s="21" t="s">
        <v>643</v>
      </c>
      <c r="AO8" s="193" t="s">
        <v>567</v>
      </c>
      <c r="AQ8" s="229"/>
      <c r="AR8" s="230"/>
      <c r="AT8" s="229"/>
      <c r="AU8" s="230"/>
      <c r="AW8" s="160" t="s">
        <v>12</v>
      </c>
      <c r="AX8" s="161" t="s">
        <v>144</v>
      </c>
      <c r="AY8" s="161" t="s">
        <v>13</v>
      </c>
      <c r="AZ8" s="162" t="s">
        <v>14</v>
      </c>
    </row>
    <row r="9" spans="1:52" x14ac:dyDescent="0.25">
      <c r="C9" s="20" t="str">
        <f>+'Lead Sheet'!C8</f>
        <v>Republican</v>
      </c>
      <c r="D9" s="7" t="str">
        <f>+'Lead Sheet'!D8</f>
        <v>Democrat</v>
      </c>
      <c r="E9" s="7" t="str">
        <f>+'Lead Sheet'!E8</f>
        <v>Green Party</v>
      </c>
      <c r="F9" s="7" t="str">
        <f>+'Lead Sheet'!F8</f>
        <v>Libertarian Party</v>
      </c>
      <c r="G9" s="21" t="str">
        <f>+'Lead Sheet'!G8</f>
        <v>Socialist Workers</v>
      </c>
      <c r="I9" s="20" t="str">
        <f>+'Lead Sheet'!S8</f>
        <v>Republican</v>
      </c>
      <c r="J9" s="21" t="str">
        <f>+'Lead Sheet'!T8</f>
        <v>Democrat</v>
      </c>
      <c r="L9" s="20" t="str">
        <f>+'Lead Sheet'!V8</f>
        <v>Republican</v>
      </c>
      <c r="M9" s="7" t="str">
        <f>+'Lead Sheet'!W8</f>
        <v>Republican</v>
      </c>
      <c r="N9" s="7" t="str">
        <f>+'Lead Sheet'!X8</f>
        <v>Democrat</v>
      </c>
      <c r="O9" s="21" t="str">
        <f>+'Lead Sheet'!Y8</f>
        <v>Democrat</v>
      </c>
      <c r="Q9" s="20" t="str">
        <f>+'Lead Sheet'!AR8</f>
        <v>Republican</v>
      </c>
      <c r="R9" s="21" t="str">
        <f>+'Lead Sheet'!AS8</f>
        <v>Democrat</v>
      </c>
      <c r="T9" s="20" t="str">
        <f>+'Lead Sheet'!AU8</f>
        <v>Republican</v>
      </c>
      <c r="U9" s="21" t="str">
        <f>+'Lead Sheet'!AV8</f>
        <v>Democrat</v>
      </c>
      <c r="W9" s="20" t="str">
        <f>+'Lead Sheet'!AX8</f>
        <v>Republican</v>
      </c>
      <c r="X9" s="21" t="str">
        <f>+'Lead Sheet'!AY8</f>
        <v>Democrat</v>
      </c>
      <c r="Z9" s="20" t="s">
        <v>16</v>
      </c>
      <c r="AA9" s="21" t="s">
        <v>59</v>
      </c>
      <c r="AC9" s="20" t="s">
        <v>16</v>
      </c>
      <c r="AD9" s="21" t="s">
        <v>59</v>
      </c>
      <c r="AF9" s="20" t="s">
        <v>16</v>
      </c>
      <c r="AG9" s="21" t="s">
        <v>59</v>
      </c>
      <c r="AI9" s="193"/>
      <c r="AK9" s="20"/>
      <c r="AL9" s="7"/>
      <c r="AM9" s="21"/>
      <c r="AO9" s="193"/>
      <c r="AQ9" s="229"/>
      <c r="AR9" s="230"/>
      <c r="AT9" s="229"/>
      <c r="AU9" s="230"/>
      <c r="AW9" s="160" t="s">
        <v>18</v>
      </c>
      <c r="AX9" s="161" t="s">
        <v>145</v>
      </c>
      <c r="AY9" s="161" t="s">
        <v>19</v>
      </c>
      <c r="AZ9" s="162" t="s">
        <v>18</v>
      </c>
    </row>
    <row r="10" spans="1:52" x14ac:dyDescent="0.25">
      <c r="C10" s="60"/>
      <c r="D10" s="31"/>
      <c r="E10" s="31"/>
      <c r="F10" s="31"/>
      <c r="G10" s="61" t="str">
        <f>+'Lead Sheet'!G9</f>
        <v>Party</v>
      </c>
      <c r="I10" s="20"/>
      <c r="J10" s="21"/>
      <c r="L10" s="20"/>
      <c r="M10" s="7"/>
      <c r="N10" s="7"/>
      <c r="O10" s="21"/>
      <c r="Q10" s="20"/>
      <c r="R10" s="21"/>
      <c r="T10" s="20"/>
      <c r="U10" s="21"/>
      <c r="W10" s="20"/>
      <c r="X10" s="21"/>
      <c r="Z10" s="20"/>
      <c r="AA10" s="21"/>
      <c r="AC10" s="20"/>
      <c r="AD10" s="21"/>
      <c r="AF10" s="20"/>
      <c r="AG10" s="21"/>
      <c r="AI10" s="193"/>
      <c r="AK10" s="20"/>
      <c r="AL10" s="7"/>
      <c r="AM10" s="21"/>
      <c r="AO10" s="193"/>
      <c r="AQ10" s="27"/>
      <c r="AR10" s="28"/>
      <c r="AT10" s="27"/>
      <c r="AU10" s="28"/>
      <c r="AW10" s="164"/>
      <c r="AX10" s="163"/>
      <c r="AY10" s="163"/>
      <c r="AZ10" s="165"/>
    </row>
    <row r="11" spans="1:52" ht="5.0999999999999996" customHeight="1" thickBot="1" x14ac:dyDescent="0.3">
      <c r="C11" s="29"/>
      <c r="D11" s="32"/>
      <c r="E11" s="32"/>
      <c r="F11" s="32"/>
      <c r="G11" s="30"/>
      <c r="I11" s="33"/>
      <c r="J11" s="35"/>
      <c r="L11" s="33"/>
      <c r="M11" s="34"/>
      <c r="N11" s="34"/>
      <c r="O11" s="35"/>
      <c r="Q11" s="33"/>
      <c r="R11" s="35"/>
      <c r="T11" s="33"/>
      <c r="U11" s="35"/>
      <c r="W11" s="33"/>
      <c r="X11" s="35"/>
      <c r="Z11" s="33"/>
      <c r="AA11" s="35"/>
      <c r="AC11" s="33"/>
      <c r="AD11" s="35"/>
      <c r="AF11" s="33"/>
      <c r="AG11" s="35"/>
      <c r="AI11" s="199"/>
      <c r="AK11" s="33"/>
      <c r="AL11" s="34"/>
      <c r="AM11" s="35"/>
      <c r="AO11" s="199"/>
      <c r="AQ11" s="36"/>
      <c r="AR11" s="38"/>
      <c r="AT11" s="36"/>
      <c r="AU11" s="38"/>
      <c r="AW11" s="166"/>
      <c r="AX11" s="167"/>
      <c r="AY11" s="167"/>
      <c r="AZ11" s="168"/>
    </row>
    <row r="12" spans="1:52" x14ac:dyDescent="0.25">
      <c r="A12" s="191" t="s">
        <v>542</v>
      </c>
      <c r="B12" s="132"/>
      <c r="C12" s="40">
        <v>183</v>
      </c>
      <c r="D12" s="40">
        <v>85</v>
      </c>
      <c r="E12" s="40">
        <v>2</v>
      </c>
      <c r="F12" s="40">
        <v>2</v>
      </c>
      <c r="G12" s="40">
        <v>0</v>
      </c>
      <c r="H12" s="132"/>
      <c r="I12" s="40">
        <v>163</v>
      </c>
      <c r="J12" s="40">
        <v>110</v>
      </c>
      <c r="K12" s="132"/>
      <c r="L12" s="40">
        <v>168</v>
      </c>
      <c r="M12" s="40">
        <v>169</v>
      </c>
      <c r="N12" s="40">
        <v>100</v>
      </c>
      <c r="O12" s="40">
        <v>94</v>
      </c>
      <c r="P12" s="132"/>
      <c r="Q12" s="40">
        <v>174</v>
      </c>
      <c r="R12" s="40">
        <v>92</v>
      </c>
      <c r="S12" s="132"/>
      <c r="T12" s="40">
        <v>188</v>
      </c>
      <c r="U12" s="40">
        <v>78</v>
      </c>
      <c r="V12" s="132"/>
      <c r="W12" s="40">
        <v>168</v>
      </c>
      <c r="X12" s="40">
        <v>77</v>
      </c>
      <c r="Y12" s="132"/>
      <c r="Z12" s="59">
        <v>176</v>
      </c>
      <c r="AA12" s="59">
        <v>92</v>
      </c>
      <c r="AB12" s="132"/>
      <c r="AC12" s="59">
        <v>199</v>
      </c>
      <c r="AD12" s="59"/>
      <c r="AE12" s="132"/>
      <c r="AF12" s="59"/>
      <c r="AG12" s="59"/>
      <c r="AH12" s="132"/>
      <c r="AI12" s="59">
        <v>165</v>
      </c>
      <c r="AJ12" s="132"/>
      <c r="AK12" s="59">
        <v>150</v>
      </c>
      <c r="AL12" s="59">
        <v>148</v>
      </c>
      <c r="AM12" s="59">
        <v>4</v>
      </c>
      <c r="AN12" s="132"/>
      <c r="AO12" s="59">
        <v>154</v>
      </c>
      <c r="AP12" s="132"/>
      <c r="AQ12" s="40">
        <v>148</v>
      </c>
      <c r="AR12" s="40">
        <v>109</v>
      </c>
      <c r="AS12" s="132"/>
      <c r="AT12" s="40">
        <v>197</v>
      </c>
      <c r="AU12" s="40">
        <v>58</v>
      </c>
      <c r="AV12" s="132"/>
      <c r="AW12" s="40">
        <v>321</v>
      </c>
      <c r="AX12" s="237">
        <v>181</v>
      </c>
      <c r="AY12" s="237">
        <v>287</v>
      </c>
      <c r="AZ12" s="237">
        <f>6+34</f>
        <v>40</v>
      </c>
    </row>
    <row r="13" spans="1:52" x14ac:dyDescent="0.25">
      <c r="A13" s="191" t="s">
        <v>543</v>
      </c>
      <c r="B13" s="132"/>
      <c r="C13" s="40">
        <v>171</v>
      </c>
      <c r="D13" s="40">
        <v>99</v>
      </c>
      <c r="E13" s="40">
        <v>2</v>
      </c>
      <c r="F13" s="40">
        <v>0</v>
      </c>
      <c r="G13" s="40">
        <v>0</v>
      </c>
      <c r="H13" s="132"/>
      <c r="I13" s="40">
        <v>150</v>
      </c>
      <c r="J13" s="40">
        <v>122</v>
      </c>
      <c r="K13" s="132"/>
      <c r="L13" s="40">
        <v>165</v>
      </c>
      <c r="M13" s="40">
        <v>167</v>
      </c>
      <c r="N13" s="40">
        <v>104</v>
      </c>
      <c r="O13" s="40">
        <v>99</v>
      </c>
      <c r="P13" s="132"/>
      <c r="Q13" s="40">
        <v>164</v>
      </c>
      <c r="R13" s="40">
        <v>98</v>
      </c>
      <c r="S13" s="132"/>
      <c r="T13" s="40">
        <v>178</v>
      </c>
      <c r="U13" s="40">
        <v>90</v>
      </c>
      <c r="V13" s="132"/>
      <c r="W13" s="40">
        <v>181</v>
      </c>
      <c r="X13" s="40">
        <v>86</v>
      </c>
      <c r="Y13" s="132"/>
      <c r="Z13" s="40">
        <v>159</v>
      </c>
      <c r="AA13" s="40">
        <v>105</v>
      </c>
      <c r="AB13" s="132"/>
      <c r="AC13" s="40">
        <v>194</v>
      </c>
      <c r="AD13" s="40"/>
      <c r="AE13" s="132"/>
      <c r="AF13" s="40"/>
      <c r="AG13" s="40"/>
      <c r="AH13" s="132"/>
      <c r="AI13" s="40">
        <v>169</v>
      </c>
      <c r="AJ13" s="132"/>
      <c r="AK13" s="40">
        <v>150</v>
      </c>
      <c r="AL13" s="40">
        <v>156</v>
      </c>
      <c r="AM13" s="40">
        <v>5</v>
      </c>
      <c r="AN13" s="132"/>
      <c r="AO13" s="40">
        <v>171</v>
      </c>
      <c r="AP13" s="132"/>
      <c r="AQ13" s="40">
        <v>152</v>
      </c>
      <c r="AR13" s="40">
        <v>110</v>
      </c>
      <c r="AS13" s="132"/>
      <c r="AT13" s="40">
        <v>192</v>
      </c>
      <c r="AU13" s="40">
        <v>68</v>
      </c>
      <c r="AV13" s="132"/>
      <c r="AW13" s="40">
        <v>316</v>
      </c>
      <c r="AX13" s="232"/>
      <c r="AY13" s="232"/>
      <c r="AZ13" s="232"/>
    </row>
    <row r="14" spans="1:52" x14ac:dyDescent="0.25">
      <c r="A14" s="191" t="s">
        <v>544</v>
      </c>
      <c r="B14" s="132"/>
      <c r="C14" s="40">
        <v>167</v>
      </c>
      <c r="D14" s="40">
        <v>97</v>
      </c>
      <c r="E14" s="40">
        <v>2</v>
      </c>
      <c r="F14" s="40">
        <v>3</v>
      </c>
      <c r="G14" s="40">
        <v>0</v>
      </c>
      <c r="H14" s="132"/>
      <c r="I14" s="40">
        <v>155</v>
      </c>
      <c r="J14" s="40">
        <v>114</v>
      </c>
      <c r="K14" s="132"/>
      <c r="L14" s="40">
        <v>167</v>
      </c>
      <c r="M14" s="40">
        <v>166</v>
      </c>
      <c r="N14" s="40">
        <v>103</v>
      </c>
      <c r="O14" s="40">
        <v>94</v>
      </c>
      <c r="P14" s="132"/>
      <c r="Q14" s="40">
        <v>161</v>
      </c>
      <c r="R14" s="40">
        <v>100</v>
      </c>
      <c r="S14" s="132"/>
      <c r="T14" s="40">
        <v>175</v>
      </c>
      <c r="U14" s="40">
        <v>86</v>
      </c>
      <c r="V14" s="132"/>
      <c r="W14" s="40">
        <v>170</v>
      </c>
      <c r="X14" s="40">
        <v>91</v>
      </c>
      <c r="Y14" s="132"/>
      <c r="Z14" s="40">
        <v>139</v>
      </c>
      <c r="AA14" s="40">
        <v>130</v>
      </c>
      <c r="AB14" s="132"/>
      <c r="AC14" s="40">
        <v>186</v>
      </c>
      <c r="AD14" s="40"/>
      <c r="AE14" s="132"/>
      <c r="AF14" s="40"/>
      <c r="AG14" s="40"/>
      <c r="AH14" s="132"/>
      <c r="AI14" s="40">
        <v>168</v>
      </c>
      <c r="AJ14" s="132"/>
      <c r="AK14" s="40">
        <v>158</v>
      </c>
      <c r="AL14" s="40">
        <v>161</v>
      </c>
      <c r="AM14" s="40">
        <v>3</v>
      </c>
      <c r="AN14" s="132"/>
      <c r="AO14" s="40">
        <v>172</v>
      </c>
      <c r="AP14" s="132"/>
      <c r="AQ14" s="40">
        <v>127</v>
      </c>
      <c r="AR14" s="40">
        <v>126</v>
      </c>
      <c r="AS14" s="132"/>
      <c r="AT14" s="40">
        <v>153</v>
      </c>
      <c r="AU14" s="40">
        <v>100</v>
      </c>
      <c r="AV14" s="132"/>
      <c r="AW14" s="40">
        <v>333</v>
      </c>
      <c r="AX14" s="232"/>
      <c r="AY14" s="232"/>
      <c r="AZ14" s="232"/>
    </row>
    <row r="15" spans="1:52" x14ac:dyDescent="0.25">
      <c r="A15" s="191" t="s">
        <v>545</v>
      </c>
      <c r="B15" s="132"/>
      <c r="C15" s="40">
        <v>163</v>
      </c>
      <c r="D15" s="40">
        <v>84</v>
      </c>
      <c r="E15" s="40">
        <v>1</v>
      </c>
      <c r="F15" s="40">
        <v>0</v>
      </c>
      <c r="G15" s="40">
        <v>0</v>
      </c>
      <c r="H15" s="132"/>
      <c r="I15" s="40">
        <v>131</v>
      </c>
      <c r="J15" s="40">
        <v>114</v>
      </c>
      <c r="K15" s="132"/>
      <c r="L15" s="40">
        <v>148</v>
      </c>
      <c r="M15" s="40">
        <v>149</v>
      </c>
      <c r="N15" s="40">
        <v>90</v>
      </c>
      <c r="O15" s="40">
        <v>94</v>
      </c>
      <c r="P15" s="132"/>
      <c r="Q15" s="40">
        <v>150</v>
      </c>
      <c r="R15" s="40">
        <v>90</v>
      </c>
      <c r="S15" s="132"/>
      <c r="T15" s="40">
        <v>169</v>
      </c>
      <c r="U15" s="40">
        <v>72</v>
      </c>
      <c r="V15" s="132"/>
      <c r="W15" s="40">
        <v>164</v>
      </c>
      <c r="X15" s="40">
        <v>79</v>
      </c>
      <c r="Y15" s="132"/>
      <c r="Z15" s="40">
        <v>139</v>
      </c>
      <c r="AA15" s="40">
        <v>108</v>
      </c>
      <c r="AB15" s="132"/>
      <c r="AC15" s="40">
        <v>171</v>
      </c>
      <c r="AD15" s="40"/>
      <c r="AE15" s="132"/>
      <c r="AF15" s="40"/>
      <c r="AG15" s="40"/>
      <c r="AH15" s="132"/>
      <c r="AI15" s="40">
        <v>153</v>
      </c>
      <c r="AJ15" s="132"/>
      <c r="AK15" s="40">
        <v>129</v>
      </c>
      <c r="AL15" s="40">
        <v>127</v>
      </c>
      <c r="AM15" s="40">
        <v>2</v>
      </c>
      <c r="AN15" s="132"/>
      <c r="AO15" s="40">
        <v>144</v>
      </c>
      <c r="AP15" s="132"/>
      <c r="AQ15" s="40">
        <v>122</v>
      </c>
      <c r="AR15" s="40">
        <v>105</v>
      </c>
      <c r="AS15" s="132"/>
      <c r="AT15" s="40">
        <v>159</v>
      </c>
      <c r="AU15" s="40">
        <v>67</v>
      </c>
      <c r="AV15" s="132"/>
      <c r="AW15" s="40">
        <v>282</v>
      </c>
      <c r="AX15" s="233"/>
      <c r="AY15" s="233"/>
      <c r="AZ15" s="233"/>
    </row>
    <row r="16" spans="1:52" x14ac:dyDescent="0.25">
      <c r="A16" s="191" t="s">
        <v>546</v>
      </c>
      <c r="B16" s="132"/>
      <c r="C16" s="40">
        <v>147</v>
      </c>
      <c r="D16" s="40">
        <v>107</v>
      </c>
      <c r="E16" s="40">
        <v>1</v>
      </c>
      <c r="F16" s="40">
        <v>0</v>
      </c>
      <c r="G16" s="40">
        <v>0</v>
      </c>
      <c r="H16" s="132"/>
      <c r="I16" s="40">
        <v>138</v>
      </c>
      <c r="J16" s="40">
        <v>117</v>
      </c>
      <c r="K16" s="132"/>
      <c r="L16" s="40">
        <v>151</v>
      </c>
      <c r="M16" s="40">
        <v>154</v>
      </c>
      <c r="N16" s="40">
        <v>102</v>
      </c>
      <c r="O16" s="40">
        <v>100</v>
      </c>
      <c r="P16" s="132"/>
      <c r="Q16" s="40">
        <v>157</v>
      </c>
      <c r="R16" s="40">
        <v>96</v>
      </c>
      <c r="S16" s="132"/>
      <c r="T16" s="40">
        <v>172</v>
      </c>
      <c r="U16" s="40">
        <v>85</v>
      </c>
      <c r="V16" s="132"/>
      <c r="W16" s="40">
        <v>154</v>
      </c>
      <c r="X16" s="40">
        <v>98</v>
      </c>
      <c r="Y16" s="132"/>
      <c r="Z16" s="40">
        <v>150</v>
      </c>
      <c r="AA16" s="40">
        <v>101</v>
      </c>
      <c r="AB16" s="132"/>
      <c r="AC16" s="40"/>
      <c r="AD16" s="40"/>
      <c r="AE16" s="132"/>
      <c r="AF16" s="40">
        <v>154</v>
      </c>
      <c r="AG16" s="40">
        <v>95</v>
      </c>
      <c r="AH16" s="132"/>
      <c r="AI16" s="40">
        <v>149</v>
      </c>
      <c r="AJ16" s="132"/>
      <c r="AK16" s="40">
        <v>137</v>
      </c>
      <c r="AL16" s="40">
        <v>136</v>
      </c>
      <c r="AM16" s="40">
        <v>4</v>
      </c>
      <c r="AN16" s="132"/>
      <c r="AO16" s="40">
        <v>135</v>
      </c>
      <c r="AP16" s="132"/>
      <c r="AQ16" s="40">
        <v>128</v>
      </c>
      <c r="AR16" s="40">
        <v>115</v>
      </c>
      <c r="AS16" s="132"/>
      <c r="AT16" s="40">
        <v>160</v>
      </c>
      <c r="AU16" s="40">
        <v>75</v>
      </c>
      <c r="AV16" s="132"/>
      <c r="AW16" s="40">
        <v>285</v>
      </c>
      <c r="AX16" s="231">
        <v>151</v>
      </c>
      <c r="AY16" s="231">
        <v>314</v>
      </c>
      <c r="AZ16" s="231">
        <f>2+20</f>
        <v>22</v>
      </c>
    </row>
    <row r="17" spans="1:52" x14ac:dyDescent="0.25">
      <c r="A17" s="191" t="s">
        <v>547</v>
      </c>
      <c r="B17" s="132"/>
      <c r="C17" s="40">
        <v>205</v>
      </c>
      <c r="D17" s="40">
        <v>122</v>
      </c>
      <c r="E17" s="40">
        <v>1</v>
      </c>
      <c r="F17" s="40">
        <v>2</v>
      </c>
      <c r="G17" s="40">
        <v>1</v>
      </c>
      <c r="H17" s="132"/>
      <c r="I17" s="40">
        <v>184</v>
      </c>
      <c r="J17" s="40">
        <v>143</v>
      </c>
      <c r="K17" s="132"/>
      <c r="L17" s="40">
        <v>196</v>
      </c>
      <c r="M17" s="40">
        <v>196</v>
      </c>
      <c r="N17" s="40">
        <v>119</v>
      </c>
      <c r="O17" s="40">
        <v>122</v>
      </c>
      <c r="P17" s="132"/>
      <c r="Q17" s="40">
        <v>197</v>
      </c>
      <c r="R17" s="40">
        <v>120</v>
      </c>
      <c r="S17" s="132"/>
      <c r="T17" s="40">
        <v>220</v>
      </c>
      <c r="U17" s="40">
        <v>96</v>
      </c>
      <c r="V17" s="132"/>
      <c r="W17" s="40">
        <v>222</v>
      </c>
      <c r="X17" s="40">
        <v>100</v>
      </c>
      <c r="Y17" s="132"/>
      <c r="Z17" s="40">
        <v>198</v>
      </c>
      <c r="AA17" s="40">
        <v>122</v>
      </c>
      <c r="AB17" s="132"/>
      <c r="AC17" s="40"/>
      <c r="AD17" s="40"/>
      <c r="AE17" s="132"/>
      <c r="AF17" s="40">
        <v>209</v>
      </c>
      <c r="AG17" s="40">
        <v>113</v>
      </c>
      <c r="AH17" s="132"/>
      <c r="AI17" s="40">
        <v>181</v>
      </c>
      <c r="AJ17" s="132"/>
      <c r="AK17" s="40">
        <v>174</v>
      </c>
      <c r="AL17" s="40">
        <v>170</v>
      </c>
      <c r="AM17" s="40">
        <v>7</v>
      </c>
      <c r="AN17" s="132"/>
      <c r="AO17" s="40">
        <v>189</v>
      </c>
      <c r="AP17" s="132"/>
      <c r="AQ17" s="40">
        <v>167</v>
      </c>
      <c r="AR17" s="40">
        <v>138</v>
      </c>
      <c r="AS17" s="132"/>
      <c r="AT17" s="40">
        <v>219</v>
      </c>
      <c r="AU17" s="40">
        <v>83</v>
      </c>
      <c r="AV17" s="132"/>
      <c r="AW17" s="40">
        <v>378</v>
      </c>
      <c r="AX17" s="232"/>
      <c r="AY17" s="232"/>
      <c r="AZ17" s="232"/>
    </row>
    <row r="18" spans="1:52" x14ac:dyDescent="0.25">
      <c r="A18" s="191" t="s">
        <v>548</v>
      </c>
      <c r="B18" s="132"/>
      <c r="C18" s="40">
        <v>261</v>
      </c>
      <c r="D18" s="40">
        <v>133</v>
      </c>
      <c r="E18" s="40">
        <v>0</v>
      </c>
      <c r="F18" s="40">
        <v>0</v>
      </c>
      <c r="G18" s="40">
        <v>2</v>
      </c>
      <c r="H18" s="132"/>
      <c r="I18" s="40">
        <v>211</v>
      </c>
      <c r="J18" s="40">
        <v>181</v>
      </c>
      <c r="K18" s="132"/>
      <c r="L18" s="40">
        <v>251</v>
      </c>
      <c r="M18" s="40">
        <v>252</v>
      </c>
      <c r="N18" s="40">
        <v>133</v>
      </c>
      <c r="O18" s="40">
        <v>134</v>
      </c>
      <c r="P18" s="132"/>
      <c r="Q18" s="40">
        <v>242</v>
      </c>
      <c r="R18" s="40">
        <v>134</v>
      </c>
      <c r="S18" s="132"/>
      <c r="T18" s="40">
        <v>271</v>
      </c>
      <c r="U18" s="40">
        <v>111</v>
      </c>
      <c r="V18" s="132"/>
      <c r="W18" s="40">
        <v>252</v>
      </c>
      <c r="X18" s="40">
        <v>126</v>
      </c>
      <c r="Y18" s="132"/>
      <c r="Z18" s="40">
        <v>242</v>
      </c>
      <c r="AA18" s="40">
        <v>148</v>
      </c>
      <c r="AB18" s="132"/>
      <c r="AC18" s="40"/>
      <c r="AD18" s="40"/>
      <c r="AE18" s="132"/>
      <c r="AF18" s="40">
        <v>257</v>
      </c>
      <c r="AG18" s="40">
        <v>122</v>
      </c>
      <c r="AH18" s="132"/>
      <c r="AI18" s="40">
        <v>262</v>
      </c>
      <c r="AJ18" s="132"/>
      <c r="AK18" s="40">
        <v>232</v>
      </c>
      <c r="AL18" s="40">
        <v>230</v>
      </c>
      <c r="AM18" s="40">
        <v>20</v>
      </c>
      <c r="AN18" s="132"/>
      <c r="AO18" s="40">
        <v>262</v>
      </c>
      <c r="AP18" s="132"/>
      <c r="AQ18" s="40">
        <v>211</v>
      </c>
      <c r="AR18" s="40">
        <v>151</v>
      </c>
      <c r="AS18" s="132"/>
      <c r="AT18" s="40">
        <v>254</v>
      </c>
      <c r="AU18" s="40">
        <v>108</v>
      </c>
      <c r="AV18" s="132"/>
      <c r="AW18" s="40">
        <v>457</v>
      </c>
      <c r="AX18" s="232"/>
      <c r="AY18" s="232"/>
      <c r="AZ18" s="232"/>
    </row>
    <row r="19" spans="1:52" x14ac:dyDescent="0.25">
      <c r="A19" s="191" t="s">
        <v>549</v>
      </c>
      <c r="B19" s="132"/>
      <c r="C19" s="40">
        <v>157</v>
      </c>
      <c r="D19" s="40">
        <v>101</v>
      </c>
      <c r="E19" s="40">
        <v>3</v>
      </c>
      <c r="F19" s="40">
        <v>1</v>
      </c>
      <c r="G19" s="40">
        <v>1</v>
      </c>
      <c r="H19" s="132"/>
      <c r="I19" s="40">
        <v>143</v>
      </c>
      <c r="J19" s="40">
        <v>124</v>
      </c>
      <c r="K19" s="132"/>
      <c r="L19" s="40">
        <v>156</v>
      </c>
      <c r="M19" s="40">
        <v>160</v>
      </c>
      <c r="N19" s="40">
        <v>104</v>
      </c>
      <c r="O19" s="40">
        <v>94</v>
      </c>
      <c r="P19" s="132"/>
      <c r="Q19" s="40">
        <v>152</v>
      </c>
      <c r="R19" s="40">
        <v>103</v>
      </c>
      <c r="S19" s="132"/>
      <c r="T19" s="40">
        <v>163</v>
      </c>
      <c r="U19" s="40">
        <v>94</v>
      </c>
      <c r="V19" s="132"/>
      <c r="W19" s="40">
        <v>155</v>
      </c>
      <c r="X19" s="40">
        <v>98</v>
      </c>
      <c r="Y19" s="132"/>
      <c r="Z19" s="40">
        <v>149</v>
      </c>
      <c r="AA19" s="40">
        <v>110</v>
      </c>
      <c r="AB19" s="132"/>
      <c r="AC19" s="40"/>
      <c r="AD19" s="40"/>
      <c r="AE19" s="132"/>
      <c r="AF19" s="40">
        <v>157</v>
      </c>
      <c r="AG19" s="40">
        <v>101</v>
      </c>
      <c r="AH19" s="132"/>
      <c r="AI19" s="40">
        <v>166</v>
      </c>
      <c r="AJ19" s="132"/>
      <c r="AK19" s="40">
        <v>151</v>
      </c>
      <c r="AL19" s="40">
        <v>147</v>
      </c>
      <c r="AM19" s="40">
        <v>7</v>
      </c>
      <c r="AN19" s="132"/>
      <c r="AO19" s="40">
        <v>168</v>
      </c>
      <c r="AP19" s="132"/>
      <c r="AQ19" s="40">
        <v>134</v>
      </c>
      <c r="AR19" s="40">
        <v>104</v>
      </c>
      <c r="AS19" s="132"/>
      <c r="AT19" s="40">
        <v>156</v>
      </c>
      <c r="AU19" s="40">
        <v>80</v>
      </c>
      <c r="AV19" s="132"/>
      <c r="AW19" s="40">
        <v>299</v>
      </c>
      <c r="AX19" s="233"/>
      <c r="AY19" s="233"/>
      <c r="AZ19" s="233"/>
    </row>
    <row r="20" spans="1:52" ht="15.75" thickBot="1" x14ac:dyDescent="0.3"/>
    <row r="21" spans="1:52" ht="15.75" thickBot="1" x14ac:dyDescent="0.3">
      <c r="A21" s="50" t="s">
        <v>8</v>
      </c>
      <c r="B21" s="192"/>
      <c r="C21" s="51">
        <f>+SUM(C12:C19)</f>
        <v>1454</v>
      </c>
      <c r="D21" s="51">
        <f t="shared" ref="D21:AU21" si="0">+SUM(D12:D19)</f>
        <v>828</v>
      </c>
      <c r="E21" s="51">
        <f t="shared" ref="E21:U21" si="1">+SUM(E12:E19)</f>
        <v>12</v>
      </c>
      <c r="F21" s="51">
        <f t="shared" si="1"/>
        <v>8</v>
      </c>
      <c r="G21" s="51">
        <f t="shared" si="1"/>
        <v>4</v>
      </c>
      <c r="I21" s="51">
        <f t="shared" si="1"/>
        <v>1275</v>
      </c>
      <c r="J21" s="51">
        <f t="shared" si="1"/>
        <v>1025</v>
      </c>
      <c r="L21" s="51">
        <f t="shared" si="1"/>
        <v>1402</v>
      </c>
      <c r="M21" s="51">
        <f t="shared" si="1"/>
        <v>1413</v>
      </c>
      <c r="N21" s="51">
        <f t="shared" si="1"/>
        <v>855</v>
      </c>
      <c r="O21" s="51">
        <f t="shared" si="1"/>
        <v>831</v>
      </c>
      <c r="Q21" s="51">
        <f t="shared" si="1"/>
        <v>1397</v>
      </c>
      <c r="R21" s="51">
        <f t="shared" si="1"/>
        <v>833</v>
      </c>
      <c r="T21" s="51">
        <f t="shared" si="1"/>
        <v>1536</v>
      </c>
      <c r="U21" s="51">
        <f t="shared" si="1"/>
        <v>712</v>
      </c>
      <c r="W21" s="51">
        <f t="shared" si="0"/>
        <v>1466</v>
      </c>
      <c r="X21" s="51">
        <f t="shared" si="0"/>
        <v>755</v>
      </c>
      <c r="Z21" s="51">
        <f t="shared" si="0"/>
        <v>1352</v>
      </c>
      <c r="AA21" s="51">
        <f t="shared" si="0"/>
        <v>916</v>
      </c>
      <c r="AC21" s="51">
        <f t="shared" si="0"/>
        <v>750</v>
      </c>
      <c r="AD21" s="51">
        <f t="shared" si="0"/>
        <v>0</v>
      </c>
      <c r="AF21" s="51">
        <f t="shared" si="0"/>
        <v>777</v>
      </c>
      <c r="AG21" s="51">
        <f t="shared" si="0"/>
        <v>431</v>
      </c>
      <c r="AI21" s="51">
        <f t="shared" si="0"/>
        <v>1413</v>
      </c>
      <c r="AK21" s="51">
        <f t="shared" si="0"/>
        <v>1281</v>
      </c>
      <c r="AL21" s="51">
        <f t="shared" si="0"/>
        <v>1275</v>
      </c>
      <c r="AM21" s="51">
        <f t="shared" si="0"/>
        <v>52</v>
      </c>
      <c r="AO21" s="51">
        <f t="shared" si="0"/>
        <v>1395</v>
      </c>
      <c r="AQ21" s="51">
        <f t="shared" si="0"/>
        <v>1189</v>
      </c>
      <c r="AR21" s="51">
        <f t="shared" si="0"/>
        <v>958</v>
      </c>
      <c r="AT21" s="51">
        <f t="shared" si="0"/>
        <v>1490</v>
      </c>
      <c r="AU21" s="51">
        <f t="shared" si="0"/>
        <v>639</v>
      </c>
      <c r="AW21" s="51">
        <f>+SUM(AW12:AW19)</f>
        <v>2671</v>
      </c>
      <c r="AX21" s="51">
        <f>+SUM(AX12:AX19)</f>
        <v>332</v>
      </c>
      <c r="AY21" s="51">
        <f>+SUM(AY12:AY19)</f>
        <v>601</v>
      </c>
      <c r="AZ21" s="51">
        <f>+SUM(AZ12:AZ19)</f>
        <v>62</v>
      </c>
    </row>
    <row r="22" spans="1:52" x14ac:dyDescent="0.25">
      <c r="A22" s="92" t="s">
        <v>43</v>
      </c>
      <c r="B22" s="192"/>
      <c r="C22" s="53">
        <f>91+86</f>
        <v>177</v>
      </c>
      <c r="D22" s="53">
        <f>89+64</f>
        <v>153</v>
      </c>
      <c r="E22" s="53">
        <v>0</v>
      </c>
      <c r="F22" s="53">
        <v>0</v>
      </c>
      <c r="G22" s="53">
        <v>0</v>
      </c>
      <c r="I22" s="53">
        <f>77+71</f>
        <v>148</v>
      </c>
      <c r="J22" s="53">
        <f>103+72</f>
        <v>175</v>
      </c>
      <c r="L22" s="53">
        <f>85+76</f>
        <v>161</v>
      </c>
      <c r="M22" s="53">
        <f>89+85</f>
        <v>174</v>
      </c>
      <c r="N22" s="53">
        <f>90+65</f>
        <v>155</v>
      </c>
      <c r="O22" s="53">
        <f>86+61</f>
        <v>147</v>
      </c>
      <c r="Q22" s="53">
        <f>86+80</f>
        <v>166</v>
      </c>
      <c r="R22" s="53">
        <f>91+63</f>
        <v>154</v>
      </c>
      <c r="T22" s="53">
        <f>93+91</f>
        <v>184</v>
      </c>
      <c r="U22" s="53">
        <f>82+52</f>
        <v>134</v>
      </c>
      <c r="W22" s="53">
        <f>91+88</f>
        <v>179</v>
      </c>
      <c r="X22" s="53">
        <f>83+56</f>
        <v>139</v>
      </c>
      <c r="Z22" s="53">
        <f>78+78</f>
        <v>156</v>
      </c>
      <c r="AA22" s="53">
        <f>96+65</f>
        <v>161</v>
      </c>
      <c r="AC22" s="53">
        <v>96</v>
      </c>
      <c r="AD22" s="53"/>
      <c r="AF22" s="53">
        <v>84</v>
      </c>
      <c r="AG22" s="53">
        <v>58</v>
      </c>
      <c r="AI22" s="53">
        <f>108+98</f>
        <v>206</v>
      </c>
      <c r="AK22" s="53">
        <f>100+94</f>
        <v>194</v>
      </c>
      <c r="AL22" s="53">
        <f>104+93</f>
        <v>197</v>
      </c>
      <c r="AM22" s="53">
        <f>9</f>
        <v>9</v>
      </c>
      <c r="AO22" s="53">
        <f>104+97</f>
        <v>201</v>
      </c>
      <c r="AQ22" s="53">
        <f>86+70</f>
        <v>156</v>
      </c>
      <c r="AR22" s="53">
        <f>85+72</f>
        <v>157</v>
      </c>
      <c r="AT22" s="53">
        <f>114+93</f>
        <v>207</v>
      </c>
      <c r="AU22" s="53">
        <f>56+48</f>
        <v>104</v>
      </c>
      <c r="AW22" s="93"/>
      <c r="AX22" s="93"/>
      <c r="AY22" s="93"/>
      <c r="AZ22" s="93"/>
    </row>
    <row r="23" spans="1:52" x14ac:dyDescent="0.25">
      <c r="A23" s="94" t="s">
        <v>44</v>
      </c>
      <c r="B23" s="192"/>
      <c r="C23" s="41">
        <v>192</v>
      </c>
      <c r="D23" s="41">
        <v>397</v>
      </c>
      <c r="E23" s="41">
        <v>5</v>
      </c>
      <c r="F23" s="41">
        <v>0</v>
      </c>
      <c r="G23" s="41">
        <v>1</v>
      </c>
      <c r="I23" s="41">
        <v>144</v>
      </c>
      <c r="J23" s="41">
        <v>451</v>
      </c>
      <c r="L23" s="41">
        <v>182</v>
      </c>
      <c r="M23" s="41">
        <v>182</v>
      </c>
      <c r="N23" s="41">
        <v>412</v>
      </c>
      <c r="O23" s="41">
        <v>388</v>
      </c>
      <c r="Q23" s="41">
        <v>191</v>
      </c>
      <c r="R23" s="41">
        <v>390</v>
      </c>
      <c r="T23" s="41">
        <v>205</v>
      </c>
      <c r="U23" s="41">
        <v>375</v>
      </c>
      <c r="W23" s="41">
        <v>209</v>
      </c>
      <c r="X23" s="41">
        <v>368</v>
      </c>
      <c r="Z23" s="41">
        <v>157</v>
      </c>
      <c r="AA23" s="41">
        <v>434</v>
      </c>
      <c r="AC23" s="41">
        <v>117</v>
      </c>
      <c r="AD23" s="41"/>
      <c r="AF23" s="41">
        <v>100</v>
      </c>
      <c r="AG23" s="41">
        <v>207</v>
      </c>
      <c r="AI23" s="41">
        <v>386</v>
      </c>
      <c r="AK23" s="41">
        <v>377</v>
      </c>
      <c r="AL23" s="41">
        <v>396</v>
      </c>
      <c r="AM23" s="41">
        <v>0</v>
      </c>
      <c r="AO23" s="41">
        <v>390</v>
      </c>
      <c r="AQ23" s="41">
        <v>221</v>
      </c>
      <c r="AR23" s="41">
        <v>327</v>
      </c>
      <c r="AT23" s="41">
        <v>377</v>
      </c>
      <c r="AU23" s="41">
        <v>165</v>
      </c>
      <c r="AW23" s="93"/>
      <c r="AX23" s="93"/>
      <c r="AY23" s="93"/>
      <c r="AZ23" s="93"/>
    </row>
    <row r="24" spans="1:52" x14ac:dyDescent="0.25">
      <c r="A24" s="94" t="s">
        <v>644</v>
      </c>
      <c r="B24" s="192"/>
      <c r="C24" s="95">
        <v>4</v>
      </c>
      <c r="D24" s="95">
        <v>3</v>
      </c>
      <c r="E24" s="95">
        <v>0</v>
      </c>
      <c r="F24" s="95">
        <v>1</v>
      </c>
      <c r="G24" s="95">
        <v>0</v>
      </c>
      <c r="I24" s="95">
        <v>4</v>
      </c>
      <c r="J24" s="95">
        <v>4</v>
      </c>
      <c r="L24" s="95">
        <v>4</v>
      </c>
      <c r="M24" s="95">
        <v>5</v>
      </c>
      <c r="N24" s="95">
        <v>4</v>
      </c>
      <c r="O24" s="95">
        <v>3</v>
      </c>
      <c r="Q24" s="95">
        <v>4</v>
      </c>
      <c r="R24" s="95">
        <v>3</v>
      </c>
      <c r="T24" s="95">
        <v>5</v>
      </c>
      <c r="U24" s="95">
        <v>3</v>
      </c>
      <c r="W24" s="95">
        <v>5</v>
      </c>
      <c r="X24" s="95">
        <v>3</v>
      </c>
      <c r="Z24" s="95">
        <v>3</v>
      </c>
      <c r="AA24" s="95">
        <v>5</v>
      </c>
      <c r="AC24" s="95">
        <v>4</v>
      </c>
      <c r="AD24" s="95"/>
      <c r="AF24" s="95">
        <v>1</v>
      </c>
      <c r="AG24" s="95">
        <v>1</v>
      </c>
      <c r="AI24" s="95">
        <v>7</v>
      </c>
      <c r="AK24" s="95">
        <v>5</v>
      </c>
      <c r="AL24" s="95">
        <v>4</v>
      </c>
      <c r="AM24" s="95">
        <v>0</v>
      </c>
      <c r="AO24" s="95">
        <v>7</v>
      </c>
      <c r="AQ24" s="95">
        <v>3</v>
      </c>
      <c r="AR24" s="95">
        <v>5</v>
      </c>
      <c r="AT24" s="95">
        <v>7</v>
      </c>
      <c r="AU24" s="95">
        <v>1</v>
      </c>
      <c r="AW24" s="93"/>
      <c r="AX24" s="93"/>
      <c r="AY24" s="93"/>
      <c r="AZ24" s="93"/>
    </row>
    <row r="25" spans="1:52" x14ac:dyDescent="0.25">
      <c r="A25" s="94" t="s">
        <v>645</v>
      </c>
      <c r="B25" s="192"/>
      <c r="C25" s="95">
        <v>27</v>
      </c>
      <c r="D25" s="95">
        <v>26</v>
      </c>
      <c r="E25" s="95">
        <v>0</v>
      </c>
      <c r="F25" s="95">
        <v>0</v>
      </c>
      <c r="G25" s="95">
        <v>0</v>
      </c>
      <c r="I25" s="95">
        <v>28</v>
      </c>
      <c r="J25" s="95">
        <v>25</v>
      </c>
      <c r="L25" s="95">
        <v>29</v>
      </c>
      <c r="M25" s="95">
        <v>26</v>
      </c>
      <c r="N25" s="95">
        <v>24</v>
      </c>
      <c r="O25" s="95">
        <v>24</v>
      </c>
      <c r="Q25" s="95">
        <v>29</v>
      </c>
      <c r="R25" s="95">
        <v>24</v>
      </c>
      <c r="T25" s="95">
        <v>31</v>
      </c>
      <c r="U25" s="95">
        <v>22</v>
      </c>
      <c r="W25" s="95">
        <v>29</v>
      </c>
      <c r="X25" s="95">
        <v>23</v>
      </c>
      <c r="Z25" s="95">
        <v>26</v>
      </c>
      <c r="AA25" s="95">
        <v>27</v>
      </c>
      <c r="AC25" s="95">
        <v>21</v>
      </c>
      <c r="AD25" s="95"/>
      <c r="AF25" s="95">
        <v>14</v>
      </c>
      <c r="AG25" s="95">
        <v>5</v>
      </c>
      <c r="AI25" s="95">
        <v>31</v>
      </c>
      <c r="AK25" s="95">
        <v>30</v>
      </c>
      <c r="AL25" s="95">
        <v>32</v>
      </c>
      <c r="AM25" s="95">
        <v>0</v>
      </c>
      <c r="AO25" s="95">
        <v>30</v>
      </c>
      <c r="AQ25" s="95">
        <v>30</v>
      </c>
      <c r="AR25" s="95">
        <v>23</v>
      </c>
      <c r="AT25" s="95">
        <v>40</v>
      </c>
      <c r="AU25" s="95">
        <v>13</v>
      </c>
      <c r="AW25" s="93"/>
      <c r="AX25" s="93"/>
      <c r="AY25" s="93"/>
      <c r="AZ25" s="93"/>
    </row>
    <row r="26" spans="1:52" ht="15.75" thickBot="1" x14ac:dyDescent="0.3">
      <c r="A26" s="94" t="s">
        <v>651</v>
      </c>
      <c r="B26" s="192"/>
      <c r="C26" s="95">
        <f>1</f>
        <v>1</v>
      </c>
      <c r="D26" s="95">
        <v>0</v>
      </c>
      <c r="E26" s="95">
        <v>0</v>
      </c>
      <c r="F26" s="95">
        <v>0</v>
      </c>
      <c r="G26" s="95">
        <v>0</v>
      </c>
      <c r="I26" s="95">
        <f>1</f>
        <v>1</v>
      </c>
      <c r="J26" s="95">
        <v>0</v>
      </c>
      <c r="L26" s="95">
        <f>1</f>
        <v>1</v>
      </c>
      <c r="M26" s="95">
        <f>1</f>
        <v>1</v>
      </c>
      <c r="N26" s="95">
        <v>0</v>
      </c>
      <c r="O26" s="95">
        <v>0</v>
      </c>
      <c r="Q26" s="95">
        <f>1</f>
        <v>1</v>
      </c>
      <c r="R26" s="95">
        <v>0</v>
      </c>
      <c r="T26" s="95">
        <f>1</f>
        <v>1</v>
      </c>
      <c r="U26" s="95">
        <v>0</v>
      </c>
      <c r="W26" s="95">
        <v>0</v>
      </c>
      <c r="X26" s="95">
        <v>0</v>
      </c>
      <c r="Z26" s="95">
        <v>0</v>
      </c>
      <c r="AA26" s="95">
        <v>0</v>
      </c>
      <c r="AC26" s="95">
        <v>0</v>
      </c>
      <c r="AD26" s="95"/>
      <c r="AF26" s="95">
        <v>0</v>
      </c>
      <c r="AG26" s="95">
        <v>0</v>
      </c>
      <c r="AI26" s="95">
        <f>1</f>
        <v>1</v>
      </c>
      <c r="AK26" s="95">
        <f>1</f>
        <v>1</v>
      </c>
      <c r="AL26" s="95">
        <f>1</f>
        <v>1</v>
      </c>
      <c r="AM26" s="95">
        <v>0</v>
      </c>
      <c r="AO26" s="95">
        <v>0</v>
      </c>
      <c r="AQ26" s="95">
        <v>0</v>
      </c>
      <c r="AR26" s="95">
        <f>1</f>
        <v>1</v>
      </c>
      <c r="AT26" s="95">
        <f>1</f>
        <v>1</v>
      </c>
      <c r="AU26" s="95">
        <v>0</v>
      </c>
      <c r="AW26" s="93"/>
      <c r="AX26" s="93"/>
      <c r="AY26" s="93"/>
      <c r="AZ26" s="93"/>
    </row>
    <row r="27" spans="1:52" ht="15.75" thickBot="1" x14ac:dyDescent="0.3">
      <c r="A27" s="50" t="s">
        <v>45</v>
      </c>
      <c r="B27" s="192"/>
      <c r="C27" s="51">
        <f>+SUM(C21:C26)</f>
        <v>1855</v>
      </c>
      <c r="D27" s="51">
        <f t="shared" ref="D27:G27" si="2">+SUM(D21:D26)</f>
        <v>1407</v>
      </c>
      <c r="E27" s="51">
        <f t="shared" si="2"/>
        <v>17</v>
      </c>
      <c r="F27" s="51">
        <f t="shared" si="2"/>
        <v>9</v>
      </c>
      <c r="G27" s="51">
        <f t="shared" si="2"/>
        <v>5</v>
      </c>
      <c r="I27" s="51">
        <f t="shared" ref="I27:J27" si="3">+SUM(I21:I26)</f>
        <v>1600</v>
      </c>
      <c r="J27" s="51">
        <f t="shared" si="3"/>
        <v>1680</v>
      </c>
      <c r="L27" s="51">
        <f t="shared" ref="L27:O27" si="4">+SUM(L21:L26)</f>
        <v>1779</v>
      </c>
      <c r="M27" s="51">
        <f t="shared" si="4"/>
        <v>1801</v>
      </c>
      <c r="N27" s="51">
        <f t="shared" si="4"/>
        <v>1450</v>
      </c>
      <c r="O27" s="51">
        <f t="shared" si="4"/>
        <v>1393</v>
      </c>
      <c r="Q27" s="51">
        <f t="shared" ref="Q27:R27" si="5">+SUM(Q21:Q26)</f>
        <v>1788</v>
      </c>
      <c r="R27" s="51">
        <f t="shared" si="5"/>
        <v>1404</v>
      </c>
      <c r="T27" s="51">
        <f t="shared" ref="T27:U27" si="6">+SUM(T21:T26)</f>
        <v>1962</v>
      </c>
      <c r="U27" s="51">
        <f t="shared" si="6"/>
        <v>1246</v>
      </c>
      <c r="W27" s="51">
        <f t="shared" ref="W27:X27" si="7">+SUM(W21:W26)</f>
        <v>1888</v>
      </c>
      <c r="X27" s="51">
        <f t="shared" si="7"/>
        <v>1288</v>
      </c>
      <c r="Z27" s="51">
        <f t="shared" ref="Z27:AA27" si="8">+SUM(Z21:Z26)</f>
        <v>1694</v>
      </c>
      <c r="AA27" s="51">
        <f t="shared" si="8"/>
        <v>1543</v>
      </c>
      <c r="AC27" s="51">
        <f t="shared" ref="AC27:AD27" si="9">+SUM(AC21:AC26)</f>
        <v>988</v>
      </c>
      <c r="AD27" s="51">
        <f t="shared" si="9"/>
        <v>0</v>
      </c>
      <c r="AF27" s="51">
        <f t="shared" ref="AF27" si="10">+SUM(AF21:AF26)</f>
        <v>976</v>
      </c>
      <c r="AG27" s="51">
        <f t="shared" ref="AG27" si="11">+SUM(AG21:AG26)</f>
        <v>702</v>
      </c>
      <c r="AI27" s="51">
        <f t="shared" ref="AI27" si="12">+SUM(AI21:AI26)</f>
        <v>2044</v>
      </c>
      <c r="AK27" s="51">
        <f t="shared" ref="AK27" si="13">+SUM(AK21:AK26)</f>
        <v>1888</v>
      </c>
      <c r="AL27" s="51">
        <f t="shared" ref="AL27" si="14">+SUM(AL21:AL26)</f>
        <v>1905</v>
      </c>
      <c r="AM27" s="51">
        <f t="shared" ref="AM27" si="15">+SUM(AM21:AM26)</f>
        <v>61</v>
      </c>
      <c r="AO27" s="51">
        <f t="shared" ref="AO27" si="16">+SUM(AO21:AO26)</f>
        <v>2023</v>
      </c>
      <c r="AQ27" s="51">
        <f t="shared" ref="AQ27" si="17">+SUM(AQ21:AQ26)</f>
        <v>1599</v>
      </c>
      <c r="AR27" s="51">
        <f t="shared" ref="AR27" si="18">+SUM(AR21:AR26)</f>
        <v>1471</v>
      </c>
      <c r="AT27" s="51">
        <f t="shared" ref="AT27" si="19">+SUM(AT21:AT26)</f>
        <v>2122</v>
      </c>
      <c r="AU27" s="51">
        <f t="shared" ref="AU27" si="20">+SUM(AU21:AU26)</f>
        <v>922</v>
      </c>
      <c r="AW27" s="96"/>
      <c r="AX27" s="96"/>
      <c r="AY27" s="96"/>
      <c r="AZ27" s="96"/>
    </row>
  </sheetData>
  <mergeCells count="28">
    <mergeCell ref="W4:X4"/>
    <mergeCell ref="Z4:AA4"/>
    <mergeCell ref="Q4:R4"/>
    <mergeCell ref="T4:U4"/>
    <mergeCell ref="C3:G3"/>
    <mergeCell ref="I3:O3"/>
    <mergeCell ref="C4:G4"/>
    <mergeCell ref="I4:J4"/>
    <mergeCell ref="L4:O4"/>
    <mergeCell ref="AQ4:AR4"/>
    <mergeCell ref="AT4:AU4"/>
    <mergeCell ref="AQ7:AQ9"/>
    <mergeCell ref="AR7:AR9"/>
    <mergeCell ref="AT7:AT9"/>
    <mergeCell ref="AU7:AU9"/>
    <mergeCell ref="AC4:AD4"/>
    <mergeCell ref="AF4:AG4"/>
    <mergeCell ref="AK4:AM4"/>
    <mergeCell ref="AC3:AD3"/>
    <mergeCell ref="AF3:AG3"/>
    <mergeCell ref="AK3:AM3"/>
    <mergeCell ref="AY16:AY19"/>
    <mergeCell ref="AY12:AY15"/>
    <mergeCell ref="AX16:AX19"/>
    <mergeCell ref="AX12:AX15"/>
    <mergeCell ref="AW3:AZ4"/>
    <mergeCell ref="AZ16:AZ19"/>
    <mergeCell ref="AZ12:AZ15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1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/>
    </sheetView>
  </sheetViews>
  <sheetFormatPr defaultRowHeight="15" x14ac:dyDescent="0.25"/>
  <cols>
    <col min="1" max="1" width="22.7109375" style="1" customWidth="1"/>
    <col min="2" max="2" width="1.7109375" style="1" customWidth="1"/>
    <col min="3" max="6" width="14" style="1" customWidth="1"/>
    <col min="7" max="7" width="14.7109375" style="1" customWidth="1"/>
    <col min="8" max="8" width="1.7109375" style="1" customWidth="1"/>
    <col min="9" max="10" width="12.140625" style="1" customWidth="1"/>
    <col min="11" max="11" width="1.7109375" style="1" customWidth="1"/>
    <col min="12" max="15" width="14" style="1" customWidth="1"/>
    <col min="16" max="16" width="1.7109375" style="1" customWidth="1"/>
    <col min="17" max="18" width="14" style="1" customWidth="1"/>
    <col min="19" max="19" width="1.7109375" style="1" customWidth="1"/>
    <col min="20" max="21" width="13.42578125" style="1" customWidth="1"/>
    <col min="22" max="22" width="1.7109375" style="1" customWidth="1"/>
    <col min="23" max="24" width="13.42578125" style="1" customWidth="1"/>
    <col min="25" max="25" width="1.7109375" style="1" customWidth="1"/>
    <col min="26" max="27" width="13.42578125" style="1" customWidth="1"/>
    <col min="28" max="28" width="1.7109375" style="1" customWidth="1"/>
    <col min="29" max="30" width="13.42578125" style="1" customWidth="1"/>
    <col min="31" max="31" width="1.7109375" style="1" customWidth="1"/>
    <col min="32" max="33" width="13.42578125" style="1" customWidth="1"/>
    <col min="34" max="34" width="1.7109375" style="1" customWidth="1"/>
    <col min="35" max="36" width="9.7109375" style="1" customWidth="1"/>
    <col min="37" max="37" width="1.7109375" style="1" customWidth="1"/>
    <col min="38" max="39" width="9.7109375" style="1" customWidth="1"/>
    <col min="40" max="40" width="1.7109375" style="1" customWidth="1"/>
    <col min="41" max="41" width="10.140625" style="1" bestFit="1" customWidth="1"/>
    <col min="42" max="42" width="9.42578125" style="1" bestFit="1" customWidth="1"/>
    <col min="43" max="43" width="9.5703125" style="1" customWidth="1"/>
    <col min="44" max="44" width="11.140625" style="1" bestFit="1" customWidth="1"/>
    <col min="45" max="53" width="13.5703125" style="1" customWidth="1"/>
    <col min="54" max="16384" width="9.140625" style="1"/>
  </cols>
  <sheetData>
    <row r="2" spans="1:45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80"/>
      <c r="X2" s="81"/>
      <c r="Z2" s="224" t="s">
        <v>149</v>
      </c>
      <c r="AA2" s="226"/>
      <c r="AC2" s="224" t="s">
        <v>150</v>
      </c>
      <c r="AD2" s="226"/>
      <c r="AF2" s="224" t="s">
        <v>148</v>
      </c>
      <c r="AG2" s="226"/>
      <c r="AI2" s="80"/>
      <c r="AJ2" s="81"/>
      <c r="AL2" s="80"/>
      <c r="AM2" s="81"/>
      <c r="AO2" s="234" t="s">
        <v>5</v>
      </c>
      <c r="AP2" s="235"/>
      <c r="AQ2" s="235"/>
      <c r="AR2" s="236"/>
      <c r="AS2" s="106"/>
    </row>
    <row r="3" spans="1:45" s="87" customFormat="1" x14ac:dyDescent="0.25">
      <c r="C3" s="222" t="s">
        <v>46</v>
      </c>
      <c r="D3" s="227"/>
      <c r="E3" s="227"/>
      <c r="F3" s="227"/>
      <c r="G3" s="223"/>
      <c r="H3" s="88"/>
      <c r="I3" s="222" t="s">
        <v>88</v>
      </c>
      <c r="J3" s="227"/>
      <c r="K3" s="64"/>
      <c r="L3" s="227" t="s">
        <v>0</v>
      </c>
      <c r="M3" s="227"/>
      <c r="N3" s="227"/>
      <c r="O3" s="223"/>
      <c r="P3" s="88"/>
      <c r="Q3" s="222" t="s">
        <v>121</v>
      </c>
      <c r="R3" s="223"/>
      <c r="S3" s="1"/>
      <c r="T3" s="222" t="s">
        <v>122</v>
      </c>
      <c r="U3" s="223"/>
      <c r="V3" s="88"/>
      <c r="W3" s="222" t="s">
        <v>188</v>
      </c>
      <c r="X3" s="223"/>
      <c r="Y3" s="88"/>
      <c r="Z3" s="222" t="s">
        <v>147</v>
      </c>
      <c r="AA3" s="223"/>
      <c r="AB3" s="88"/>
      <c r="AC3" s="222" t="s">
        <v>147</v>
      </c>
      <c r="AD3" s="223"/>
      <c r="AF3" s="222" t="s">
        <v>151</v>
      </c>
      <c r="AG3" s="223"/>
      <c r="AI3" s="222" t="s">
        <v>126</v>
      </c>
      <c r="AJ3" s="223"/>
      <c r="AK3" s="4"/>
      <c r="AL3" s="222" t="s">
        <v>127</v>
      </c>
      <c r="AM3" s="223"/>
      <c r="AO3" s="219"/>
      <c r="AP3" s="220"/>
      <c r="AQ3" s="220"/>
      <c r="AR3" s="221"/>
      <c r="AS3" s="108"/>
    </row>
    <row r="4" spans="1:45" s="87" customFormat="1" ht="5.0999999999999996" customHeight="1" thickBot="1" x14ac:dyDescent="0.3">
      <c r="C4" s="65"/>
      <c r="D4" s="66"/>
      <c r="E4" s="66"/>
      <c r="F4" s="66"/>
      <c r="G4" s="70"/>
      <c r="H4" s="88"/>
      <c r="I4" s="65"/>
      <c r="J4" s="66"/>
      <c r="K4" s="64"/>
      <c r="L4" s="68"/>
      <c r="M4" s="68"/>
      <c r="N4" s="68"/>
      <c r="O4" s="69"/>
      <c r="P4" s="88"/>
      <c r="Q4" s="82"/>
      <c r="R4" s="83"/>
      <c r="S4" s="1"/>
      <c r="T4" s="82"/>
      <c r="U4" s="83"/>
      <c r="V4" s="88"/>
      <c r="W4" s="99"/>
      <c r="X4" s="69"/>
      <c r="Y4" s="88"/>
      <c r="Z4" s="99"/>
      <c r="AA4" s="69"/>
      <c r="AB4" s="88"/>
      <c r="AC4" s="99"/>
      <c r="AD4" s="69"/>
      <c r="AF4" s="100"/>
      <c r="AG4" s="101"/>
      <c r="AI4" s="75"/>
      <c r="AJ4" s="74"/>
      <c r="AK4" s="1"/>
      <c r="AL4" s="75"/>
      <c r="AM4" s="74"/>
      <c r="AO4" s="204"/>
      <c r="AP4" s="205"/>
      <c r="AQ4" s="205"/>
      <c r="AR4" s="206"/>
      <c r="AS4" s="107"/>
    </row>
    <row r="5" spans="1:45" s="87" customFormat="1" x14ac:dyDescent="0.25">
      <c r="C5" s="5"/>
      <c r="D5" s="8"/>
      <c r="E5" s="8"/>
      <c r="F5" s="8"/>
      <c r="G5" s="6"/>
      <c r="H5" s="88"/>
      <c r="I5" s="5"/>
      <c r="J5" s="6"/>
      <c r="K5" s="88"/>
      <c r="L5" s="89"/>
      <c r="M5" s="98"/>
      <c r="N5" s="98"/>
      <c r="O5" s="6"/>
      <c r="P5" s="88"/>
      <c r="Q5" s="5"/>
      <c r="R5" s="6"/>
      <c r="S5" s="88"/>
      <c r="T5" s="5"/>
      <c r="U5" s="6"/>
      <c r="V5" s="88"/>
      <c r="W5" s="5"/>
      <c r="X5" s="6"/>
      <c r="Y5" s="88"/>
      <c r="Z5" s="5"/>
      <c r="AA5" s="6"/>
      <c r="AB5" s="88"/>
      <c r="AC5" s="5"/>
      <c r="AD5" s="6"/>
      <c r="AF5" s="89"/>
      <c r="AG5" s="90"/>
      <c r="AI5" s="10"/>
      <c r="AJ5" s="12"/>
      <c r="AK5" s="9"/>
      <c r="AL5" s="10"/>
      <c r="AM5" s="12"/>
      <c r="AO5" s="16"/>
      <c r="AP5" s="17"/>
      <c r="AQ5" s="17"/>
      <c r="AR5" s="18"/>
    </row>
    <row r="6" spans="1:45" s="2" customFormat="1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7"/>
      <c r="I6" s="20" t="str">
        <f>+'Lead Sheet'!S6</f>
        <v>Vince</v>
      </c>
      <c r="J6" s="21" t="str">
        <f>+'Lead Sheet'!T6</f>
        <v>Vince</v>
      </c>
      <c r="K6" s="7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7"/>
      <c r="Q6" s="20" t="str">
        <f>+'Lead Sheet'!AR6</f>
        <v>Joseph J.</v>
      </c>
      <c r="R6" s="21" t="str">
        <f>+'Lead Sheet'!AS6</f>
        <v>Lisa</v>
      </c>
      <c r="S6" s="7"/>
      <c r="T6" s="20" t="str">
        <f>+'Lead Sheet'!AU6</f>
        <v>Frank X.</v>
      </c>
      <c r="U6" s="21" t="str">
        <f>+'Lead Sheet'!AV6</f>
        <v>Celeste</v>
      </c>
      <c r="V6" s="7"/>
      <c r="W6" s="20" t="s">
        <v>183</v>
      </c>
      <c r="X6" s="21" t="s">
        <v>181</v>
      </c>
      <c r="Y6" s="7"/>
      <c r="Z6" s="20" t="s">
        <v>184</v>
      </c>
      <c r="AA6" s="21" t="s">
        <v>186</v>
      </c>
      <c r="AB6" s="7"/>
      <c r="AC6" s="20" t="s">
        <v>183</v>
      </c>
      <c r="AD6" s="21" t="s">
        <v>189</v>
      </c>
      <c r="AF6" s="20" t="s">
        <v>191</v>
      </c>
      <c r="AG6" s="21" t="s">
        <v>193</v>
      </c>
      <c r="AI6" s="229" t="s">
        <v>9</v>
      </c>
      <c r="AJ6" s="230" t="s">
        <v>10</v>
      </c>
      <c r="AK6" s="7"/>
      <c r="AL6" s="229" t="s">
        <v>9</v>
      </c>
      <c r="AM6" s="230" t="s">
        <v>10</v>
      </c>
      <c r="AO6" s="22" t="s">
        <v>8</v>
      </c>
      <c r="AP6" s="23" t="s">
        <v>8</v>
      </c>
      <c r="AQ6" s="23" t="s">
        <v>8</v>
      </c>
      <c r="AR6" s="24" t="s">
        <v>8</v>
      </c>
    </row>
    <row r="7" spans="1:45" s="2" customFormat="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7"/>
      <c r="I7" s="20" t="str">
        <f>+'Lead Sheet'!S7</f>
        <v>POLISTINA</v>
      </c>
      <c r="J7" s="21" t="str">
        <f>+'Lead Sheet'!T7</f>
        <v>MAZZEO</v>
      </c>
      <c r="K7" s="7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7"/>
      <c r="Q7" s="20" t="str">
        <f>+'Lead Sheet'!AR7</f>
        <v>GIRALO</v>
      </c>
      <c r="R7" s="21" t="str">
        <f>+'Lead Sheet'!AS7</f>
        <v>JIAMPETTI</v>
      </c>
      <c r="S7" s="7"/>
      <c r="T7" s="20" t="str">
        <f>+'Lead Sheet'!AU7</f>
        <v>BALLES</v>
      </c>
      <c r="U7" s="21" t="str">
        <f>+'Lead Sheet'!AV7</f>
        <v>FERNANDEZ</v>
      </c>
      <c r="V7" s="7"/>
      <c r="W7" s="20" t="s">
        <v>159</v>
      </c>
      <c r="X7" s="21" t="s">
        <v>182</v>
      </c>
      <c r="Y7" s="7"/>
      <c r="Z7" s="20" t="s">
        <v>185</v>
      </c>
      <c r="AA7" s="21" t="s">
        <v>187</v>
      </c>
      <c r="AB7" s="7"/>
      <c r="AC7" s="20" t="s">
        <v>159</v>
      </c>
      <c r="AD7" s="21" t="s">
        <v>190</v>
      </c>
      <c r="AF7" s="20" t="s">
        <v>192</v>
      </c>
      <c r="AG7" s="21" t="s">
        <v>194</v>
      </c>
      <c r="AI7" s="229"/>
      <c r="AJ7" s="230"/>
      <c r="AK7" s="7"/>
      <c r="AL7" s="229"/>
      <c r="AM7" s="230"/>
      <c r="AO7" s="22" t="s">
        <v>12</v>
      </c>
      <c r="AP7" s="23" t="s">
        <v>158</v>
      </c>
      <c r="AQ7" s="23" t="s">
        <v>13</v>
      </c>
      <c r="AR7" s="24" t="s">
        <v>14</v>
      </c>
    </row>
    <row r="8" spans="1:45" s="2" customFormat="1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7"/>
      <c r="I8" s="20" t="str">
        <f>+'Lead Sheet'!S8</f>
        <v>Republican</v>
      </c>
      <c r="J8" s="21" t="str">
        <f>+'Lead Sheet'!T8</f>
        <v>Democrat</v>
      </c>
      <c r="K8" s="7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7"/>
      <c r="Q8" s="20" t="str">
        <f>+'Lead Sheet'!AR8</f>
        <v>Republican</v>
      </c>
      <c r="R8" s="21" t="str">
        <f>+'Lead Sheet'!AS8</f>
        <v>Democrat</v>
      </c>
      <c r="S8" s="7"/>
      <c r="T8" s="20" t="str">
        <f>+'Lead Sheet'!AU8</f>
        <v>Republican</v>
      </c>
      <c r="U8" s="21" t="str">
        <f>+'Lead Sheet'!AV8</f>
        <v>Democrat</v>
      </c>
      <c r="V8" s="7"/>
      <c r="W8" s="20" t="str">
        <f>+'Lead Sheet'!AX8</f>
        <v>Republican</v>
      </c>
      <c r="X8" s="21" t="str">
        <f>+'Lead Sheet'!AY8</f>
        <v>Democrat</v>
      </c>
      <c r="Y8" s="7"/>
      <c r="Z8" s="20" t="str">
        <f>+'Lead Sheet'!BA8</f>
        <v>Republican</v>
      </c>
      <c r="AA8" s="21" t="str">
        <f>+'Lead Sheet'!BB8</f>
        <v>Democrat</v>
      </c>
      <c r="AB8" s="7"/>
      <c r="AC8" s="20" t="str">
        <f>+'Lead Sheet'!BD8</f>
        <v>Republican</v>
      </c>
      <c r="AD8" s="21" t="str">
        <f>+'Lead Sheet'!BE8</f>
        <v>Democrat</v>
      </c>
      <c r="AF8" s="20"/>
      <c r="AG8" s="21"/>
      <c r="AI8" s="229"/>
      <c r="AJ8" s="230"/>
      <c r="AK8" s="26"/>
      <c r="AL8" s="229"/>
      <c r="AM8" s="230"/>
      <c r="AO8" s="22" t="s">
        <v>18</v>
      </c>
      <c r="AP8" s="23" t="s">
        <v>145</v>
      </c>
      <c r="AQ8" s="23" t="s">
        <v>19</v>
      </c>
      <c r="AR8" s="24" t="s">
        <v>18</v>
      </c>
    </row>
    <row r="9" spans="1:45" s="2" customFormat="1" x14ac:dyDescent="0.25">
      <c r="C9" s="60"/>
      <c r="D9" s="31"/>
      <c r="E9" s="31"/>
      <c r="F9" s="31"/>
      <c r="G9" s="61" t="str">
        <f>+'Lead Sheet'!G9</f>
        <v>Party</v>
      </c>
      <c r="H9" s="7"/>
      <c r="I9" s="20"/>
      <c r="J9" s="21"/>
      <c r="K9" s="7"/>
      <c r="L9" s="20"/>
      <c r="M9" s="7"/>
      <c r="N9" s="7"/>
      <c r="O9" s="21"/>
      <c r="P9" s="7"/>
      <c r="Q9" s="20"/>
      <c r="R9" s="21"/>
      <c r="S9" s="7"/>
      <c r="T9" s="20"/>
      <c r="U9" s="21"/>
      <c r="V9" s="7"/>
      <c r="W9" s="20"/>
      <c r="X9" s="21"/>
      <c r="Y9" s="7"/>
      <c r="Z9" s="20"/>
      <c r="AA9" s="21"/>
      <c r="AB9" s="7"/>
      <c r="AC9" s="20"/>
      <c r="AD9" s="21"/>
      <c r="AF9" s="20"/>
      <c r="AG9" s="21"/>
      <c r="AI9" s="27"/>
      <c r="AJ9" s="28"/>
      <c r="AK9" s="7"/>
      <c r="AL9" s="27"/>
      <c r="AM9" s="28"/>
      <c r="AO9" s="119"/>
      <c r="AP9" s="118"/>
      <c r="AQ9" s="118"/>
      <c r="AR9" s="120"/>
    </row>
    <row r="10" spans="1:45" s="2" customFormat="1" ht="5.0999999999999996" customHeight="1" thickBot="1" x14ac:dyDescent="0.3">
      <c r="C10" s="29"/>
      <c r="D10" s="32"/>
      <c r="E10" s="32"/>
      <c r="F10" s="32"/>
      <c r="G10" s="30"/>
      <c r="H10" s="7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33"/>
      <c r="X10" s="35"/>
      <c r="Z10" s="33"/>
      <c r="AA10" s="35"/>
      <c r="AC10" s="33"/>
      <c r="AD10" s="35"/>
      <c r="AF10" s="33"/>
      <c r="AG10" s="35"/>
      <c r="AI10" s="36"/>
      <c r="AJ10" s="38"/>
      <c r="AK10" s="7"/>
      <c r="AL10" s="36"/>
      <c r="AM10" s="38"/>
      <c r="AO10" s="33"/>
      <c r="AP10" s="34"/>
      <c r="AQ10" s="34"/>
      <c r="AR10" s="35"/>
    </row>
    <row r="11" spans="1:45" x14ac:dyDescent="0.25">
      <c r="A11" s="1" t="s">
        <v>152</v>
      </c>
      <c r="C11" s="105">
        <v>303</v>
      </c>
      <c r="D11" s="105">
        <v>108</v>
      </c>
      <c r="E11" s="105">
        <v>2</v>
      </c>
      <c r="F11" s="105">
        <v>2</v>
      </c>
      <c r="G11" s="105">
        <v>0</v>
      </c>
      <c r="H11" s="2"/>
      <c r="I11" s="59">
        <v>289</v>
      </c>
      <c r="J11" s="59">
        <v>118</v>
      </c>
      <c r="K11" s="2"/>
      <c r="L11" s="59">
        <v>271</v>
      </c>
      <c r="M11" s="59">
        <v>277</v>
      </c>
      <c r="N11" s="59">
        <v>116</v>
      </c>
      <c r="O11" s="59">
        <v>117</v>
      </c>
      <c r="P11" s="2"/>
      <c r="Q11" s="59">
        <v>293</v>
      </c>
      <c r="R11" s="59">
        <v>112</v>
      </c>
      <c r="S11" s="2"/>
      <c r="T11" s="77">
        <v>298</v>
      </c>
      <c r="U11" s="77">
        <v>103</v>
      </c>
      <c r="V11" s="2"/>
      <c r="W11" s="77"/>
      <c r="X11" s="77">
        <v>176</v>
      </c>
      <c r="Y11" s="2"/>
      <c r="Z11" s="59">
        <v>296</v>
      </c>
      <c r="AA11" s="59">
        <v>105</v>
      </c>
      <c r="AB11" s="2"/>
      <c r="AC11" s="59"/>
      <c r="AD11" s="59"/>
      <c r="AE11" s="2"/>
      <c r="AF11" s="59">
        <v>220</v>
      </c>
      <c r="AG11" s="59">
        <v>267</v>
      </c>
      <c r="AI11" s="77">
        <v>197</v>
      </c>
      <c r="AJ11" s="77">
        <v>180</v>
      </c>
      <c r="AK11" s="2"/>
      <c r="AL11" s="77">
        <v>235</v>
      </c>
      <c r="AM11" s="77">
        <v>130</v>
      </c>
      <c r="AO11" s="59">
        <v>416</v>
      </c>
      <c r="AP11" s="232">
        <f>174</f>
        <v>174</v>
      </c>
      <c r="AQ11" s="232">
        <v>287</v>
      </c>
      <c r="AR11" s="237">
        <f>9+25</f>
        <v>34</v>
      </c>
    </row>
    <row r="12" spans="1:45" x14ac:dyDescent="0.25">
      <c r="A12" s="1" t="s">
        <v>153</v>
      </c>
      <c r="C12" s="104">
        <v>229</v>
      </c>
      <c r="D12" s="104">
        <v>153</v>
      </c>
      <c r="E12" s="104">
        <v>2</v>
      </c>
      <c r="F12" s="104">
        <v>0</v>
      </c>
      <c r="G12" s="104">
        <v>1</v>
      </c>
      <c r="H12" s="2"/>
      <c r="I12" s="40">
        <v>222</v>
      </c>
      <c r="J12" s="40">
        <v>157</v>
      </c>
      <c r="K12" s="2"/>
      <c r="L12" s="40">
        <v>219</v>
      </c>
      <c r="M12" s="40">
        <v>214</v>
      </c>
      <c r="N12" s="40">
        <v>160</v>
      </c>
      <c r="O12" s="40">
        <v>155</v>
      </c>
      <c r="P12" s="2"/>
      <c r="Q12" s="40">
        <v>227</v>
      </c>
      <c r="R12" s="40">
        <v>149</v>
      </c>
      <c r="S12" s="2"/>
      <c r="T12" s="42">
        <v>238</v>
      </c>
      <c r="U12" s="42">
        <v>140</v>
      </c>
      <c r="V12" s="2"/>
      <c r="W12" s="42"/>
      <c r="X12" s="42">
        <v>197</v>
      </c>
      <c r="Y12" s="2"/>
      <c r="Z12" s="40">
        <v>248</v>
      </c>
      <c r="AA12" s="40">
        <v>127</v>
      </c>
      <c r="AB12" s="2"/>
      <c r="AC12" s="40"/>
      <c r="AD12" s="40"/>
      <c r="AE12" s="2"/>
      <c r="AF12" s="40">
        <v>193</v>
      </c>
      <c r="AG12" s="40">
        <v>226</v>
      </c>
      <c r="AI12" s="42">
        <v>173</v>
      </c>
      <c r="AJ12" s="42">
        <v>168</v>
      </c>
      <c r="AK12" s="2"/>
      <c r="AL12" s="42">
        <v>221</v>
      </c>
      <c r="AM12" s="42">
        <v>112</v>
      </c>
      <c r="AO12" s="40">
        <v>391</v>
      </c>
      <c r="AP12" s="232"/>
      <c r="AQ12" s="232"/>
      <c r="AR12" s="232"/>
    </row>
    <row r="13" spans="1:45" x14ac:dyDescent="0.25">
      <c r="A13" s="1" t="s">
        <v>154</v>
      </c>
      <c r="C13" s="104">
        <v>389</v>
      </c>
      <c r="D13" s="104">
        <v>162</v>
      </c>
      <c r="E13" s="104">
        <v>3</v>
      </c>
      <c r="F13" s="104">
        <v>3</v>
      </c>
      <c r="G13" s="104">
        <v>0</v>
      </c>
      <c r="H13" s="2"/>
      <c r="I13" s="40">
        <v>376</v>
      </c>
      <c r="J13" s="40">
        <v>177</v>
      </c>
      <c r="K13" s="2"/>
      <c r="L13" s="40">
        <v>380</v>
      </c>
      <c r="M13" s="40">
        <v>368</v>
      </c>
      <c r="N13" s="40">
        <v>171</v>
      </c>
      <c r="O13" s="40">
        <v>170</v>
      </c>
      <c r="P13" s="2"/>
      <c r="Q13" s="40">
        <v>366</v>
      </c>
      <c r="R13" s="40">
        <v>182</v>
      </c>
      <c r="S13" s="2"/>
      <c r="T13" s="42">
        <v>406</v>
      </c>
      <c r="U13" s="42">
        <v>144</v>
      </c>
      <c r="V13" s="2"/>
      <c r="W13" s="42"/>
      <c r="X13" s="42">
        <v>261</v>
      </c>
      <c r="Y13" s="2"/>
      <c r="Z13" s="40">
        <v>408</v>
      </c>
      <c r="AA13" s="40">
        <v>140</v>
      </c>
      <c r="AB13" s="2"/>
      <c r="AC13" s="40"/>
      <c r="AD13" s="40"/>
      <c r="AE13" s="2"/>
      <c r="AF13" s="40">
        <v>309</v>
      </c>
      <c r="AG13" s="40">
        <v>371</v>
      </c>
      <c r="AI13" s="42">
        <v>264</v>
      </c>
      <c r="AJ13" s="42">
        <v>235</v>
      </c>
      <c r="AK13" s="2"/>
      <c r="AL13" s="42">
        <v>346</v>
      </c>
      <c r="AM13" s="42">
        <v>147</v>
      </c>
      <c r="AO13" s="40">
        <v>562</v>
      </c>
      <c r="AP13" s="233"/>
      <c r="AQ13" s="233"/>
      <c r="AR13" s="233"/>
    </row>
    <row r="14" spans="1:45" x14ac:dyDescent="0.25">
      <c r="A14" s="1" t="s">
        <v>155</v>
      </c>
      <c r="C14" s="104">
        <v>254</v>
      </c>
      <c r="D14" s="104">
        <v>138</v>
      </c>
      <c r="E14" s="104">
        <v>4</v>
      </c>
      <c r="F14" s="104">
        <v>0</v>
      </c>
      <c r="G14" s="104">
        <v>0</v>
      </c>
      <c r="H14" s="102"/>
      <c r="I14" s="40">
        <v>244</v>
      </c>
      <c r="J14" s="40">
        <v>143</v>
      </c>
      <c r="K14" s="2"/>
      <c r="L14" s="40">
        <v>251</v>
      </c>
      <c r="M14" s="40">
        <v>245</v>
      </c>
      <c r="N14" s="40">
        <v>132</v>
      </c>
      <c r="O14" s="40">
        <v>136</v>
      </c>
      <c r="P14" s="2"/>
      <c r="Q14" s="42">
        <v>241</v>
      </c>
      <c r="R14" s="42">
        <v>143</v>
      </c>
      <c r="S14" s="2"/>
      <c r="T14" s="40">
        <v>261</v>
      </c>
      <c r="U14" s="40">
        <v>123</v>
      </c>
      <c r="V14" s="2"/>
      <c r="W14" s="40"/>
      <c r="X14" s="40">
        <v>208</v>
      </c>
      <c r="Y14" s="2"/>
      <c r="Z14" s="40"/>
      <c r="AA14" s="40"/>
      <c r="AB14" s="2"/>
      <c r="AC14" s="40"/>
      <c r="AD14" s="40">
        <v>202</v>
      </c>
      <c r="AE14" s="2"/>
      <c r="AF14" s="40">
        <v>213</v>
      </c>
      <c r="AG14" s="40">
        <v>232</v>
      </c>
      <c r="AI14" s="42">
        <v>179</v>
      </c>
      <c r="AJ14" s="42">
        <v>163</v>
      </c>
      <c r="AK14" s="2"/>
      <c r="AL14" s="42">
        <v>220</v>
      </c>
      <c r="AM14" s="42">
        <v>113</v>
      </c>
      <c r="AO14" s="40">
        <v>400</v>
      </c>
      <c r="AP14" s="231">
        <f>116</f>
        <v>116</v>
      </c>
      <c r="AQ14" s="231">
        <v>230</v>
      </c>
      <c r="AR14" s="231">
        <f>5+15</f>
        <v>20</v>
      </c>
    </row>
    <row r="15" spans="1:45" x14ac:dyDescent="0.25">
      <c r="A15" s="1" t="s">
        <v>156</v>
      </c>
      <c r="C15" s="104">
        <v>140</v>
      </c>
      <c r="D15" s="104">
        <v>156</v>
      </c>
      <c r="E15" s="104">
        <v>0</v>
      </c>
      <c r="F15" s="104">
        <v>1</v>
      </c>
      <c r="G15" s="104">
        <v>0</v>
      </c>
      <c r="H15" s="102"/>
      <c r="I15" s="40">
        <v>138</v>
      </c>
      <c r="J15" s="40">
        <v>157</v>
      </c>
      <c r="K15" s="2"/>
      <c r="L15" s="40">
        <v>137</v>
      </c>
      <c r="M15" s="40">
        <v>137</v>
      </c>
      <c r="N15" s="40">
        <v>159</v>
      </c>
      <c r="O15" s="40">
        <v>149</v>
      </c>
      <c r="P15" s="2"/>
      <c r="Q15" s="42">
        <v>142</v>
      </c>
      <c r="R15" s="42">
        <v>147</v>
      </c>
      <c r="S15" s="2"/>
      <c r="T15" s="40">
        <v>152</v>
      </c>
      <c r="U15" s="40">
        <v>142</v>
      </c>
      <c r="V15" s="2"/>
      <c r="W15" s="40"/>
      <c r="X15" s="40">
        <v>176</v>
      </c>
      <c r="Y15" s="2"/>
      <c r="Z15" s="40"/>
      <c r="AA15" s="40"/>
      <c r="AB15" s="2"/>
      <c r="AC15" s="40"/>
      <c r="AD15" s="40">
        <v>177</v>
      </c>
      <c r="AE15" s="2"/>
      <c r="AF15" s="40">
        <v>132</v>
      </c>
      <c r="AG15" s="40">
        <v>140</v>
      </c>
      <c r="AI15" s="42">
        <v>136</v>
      </c>
      <c r="AJ15" s="42">
        <v>101</v>
      </c>
      <c r="AK15" s="2"/>
      <c r="AL15" s="42">
        <v>148</v>
      </c>
      <c r="AM15" s="42">
        <v>82</v>
      </c>
      <c r="AO15" s="40">
        <v>300</v>
      </c>
      <c r="AP15" s="232"/>
      <c r="AQ15" s="232"/>
      <c r="AR15" s="232"/>
    </row>
    <row r="16" spans="1:45" x14ac:dyDescent="0.25">
      <c r="A16" s="1" t="s">
        <v>157</v>
      </c>
      <c r="C16" s="104">
        <v>208</v>
      </c>
      <c r="D16" s="104">
        <v>107</v>
      </c>
      <c r="E16" s="104">
        <v>1</v>
      </c>
      <c r="F16" s="104">
        <v>0</v>
      </c>
      <c r="G16" s="104">
        <v>0</v>
      </c>
      <c r="H16" s="102"/>
      <c r="I16" s="40">
        <v>196</v>
      </c>
      <c r="J16" s="40">
        <v>118</v>
      </c>
      <c r="K16" s="2"/>
      <c r="L16" s="40">
        <v>206</v>
      </c>
      <c r="M16" s="40">
        <v>209</v>
      </c>
      <c r="N16" s="40">
        <v>110</v>
      </c>
      <c r="O16" s="40">
        <v>97</v>
      </c>
      <c r="P16" s="2"/>
      <c r="Q16" s="42">
        <v>200</v>
      </c>
      <c r="R16" s="42">
        <v>110</v>
      </c>
      <c r="S16" s="2"/>
      <c r="T16" s="40">
        <v>214</v>
      </c>
      <c r="U16" s="40">
        <v>94</v>
      </c>
      <c r="V16" s="2"/>
      <c r="W16" s="40"/>
      <c r="X16" s="40">
        <v>159</v>
      </c>
      <c r="Y16" s="2"/>
      <c r="Z16" s="40"/>
      <c r="AA16" s="40"/>
      <c r="AB16" s="2"/>
      <c r="AC16" s="40"/>
      <c r="AD16" s="40">
        <v>155</v>
      </c>
      <c r="AE16" s="2"/>
      <c r="AF16" s="40">
        <v>177</v>
      </c>
      <c r="AG16" s="40">
        <v>203</v>
      </c>
      <c r="AI16" s="42">
        <v>151</v>
      </c>
      <c r="AJ16" s="42">
        <v>127</v>
      </c>
      <c r="AK16" s="2"/>
      <c r="AL16" s="42">
        <v>195</v>
      </c>
      <c r="AM16" s="42">
        <v>78</v>
      </c>
      <c r="AO16" s="40">
        <v>319</v>
      </c>
      <c r="AP16" s="233"/>
      <c r="AQ16" s="233"/>
      <c r="AR16" s="233"/>
    </row>
    <row r="17" spans="1:44" ht="15.75" thickBot="1" x14ac:dyDescent="0.3"/>
    <row r="18" spans="1:44" ht="15.75" thickBot="1" x14ac:dyDescent="0.3">
      <c r="A18" s="50" t="s">
        <v>8</v>
      </c>
      <c r="C18" s="51">
        <f>+SUM(C11:C16)</f>
        <v>1523</v>
      </c>
      <c r="D18" s="51">
        <f>+SUM(D11:D16)</f>
        <v>824</v>
      </c>
      <c r="E18" s="51">
        <f>+SUM(E11:E16)</f>
        <v>12</v>
      </c>
      <c r="F18" s="51">
        <f>+SUM(F11:F16)</f>
        <v>6</v>
      </c>
      <c r="G18" s="51">
        <f>+SUM(G11:G16)</f>
        <v>1</v>
      </c>
      <c r="H18" s="91"/>
      <c r="I18" s="51">
        <f>+SUM(I11:I16)</f>
        <v>1465</v>
      </c>
      <c r="J18" s="51">
        <f>+SUM(J11:J16)</f>
        <v>870</v>
      </c>
      <c r="K18" s="91"/>
      <c r="L18" s="51">
        <f>+SUM(L11:L16)</f>
        <v>1464</v>
      </c>
      <c r="M18" s="51">
        <f>+SUM(M11:M16)</f>
        <v>1450</v>
      </c>
      <c r="N18" s="51">
        <f>+SUM(N11:N16)</f>
        <v>848</v>
      </c>
      <c r="O18" s="51">
        <f>+SUM(O11:O16)</f>
        <v>824</v>
      </c>
      <c r="P18" s="91"/>
      <c r="Q18" s="51">
        <f>+SUM(Q11:Q16)</f>
        <v>1469</v>
      </c>
      <c r="R18" s="51">
        <f>+SUM(R11:R16)</f>
        <v>843</v>
      </c>
      <c r="S18" s="91"/>
      <c r="T18" s="51">
        <f>+SUM(T11:T16)</f>
        <v>1569</v>
      </c>
      <c r="U18" s="51">
        <f>+SUM(U11:U16)</f>
        <v>746</v>
      </c>
      <c r="V18" s="91"/>
      <c r="W18" s="51">
        <f>+SUM(W11:W16)</f>
        <v>0</v>
      </c>
      <c r="X18" s="51">
        <f>+SUM(X11:X16)</f>
        <v>1177</v>
      </c>
      <c r="Y18" s="91"/>
      <c r="Z18" s="51">
        <f>+SUM(Z11:Z16)</f>
        <v>952</v>
      </c>
      <c r="AA18" s="51">
        <f>+SUM(AA11:AA16)</f>
        <v>372</v>
      </c>
      <c r="AC18" s="51">
        <f>+SUM(AC11:AC16)</f>
        <v>0</v>
      </c>
      <c r="AD18" s="51">
        <f>+SUM(AD11:AD16)</f>
        <v>534</v>
      </c>
      <c r="AF18" s="51">
        <f>+SUM(AF11:AF16)</f>
        <v>1244</v>
      </c>
      <c r="AG18" s="51">
        <f>+SUM(AG11:AG16)</f>
        <v>1439</v>
      </c>
      <c r="AI18" s="51">
        <f>+SUM(AI11:AI16)</f>
        <v>1100</v>
      </c>
      <c r="AJ18" s="51">
        <f>+SUM(AJ11:AJ16)</f>
        <v>974</v>
      </c>
      <c r="AL18" s="51">
        <f>+SUM(AL11:AL16)</f>
        <v>1365</v>
      </c>
      <c r="AM18" s="51">
        <f>+SUM(AM11:AM16)</f>
        <v>662</v>
      </c>
      <c r="AO18" s="51">
        <f t="shared" ref="AO18:AR18" si="0">+SUM(AO11:AO16)</f>
        <v>2388</v>
      </c>
      <c r="AP18" s="51">
        <f t="shared" si="0"/>
        <v>290</v>
      </c>
      <c r="AQ18" s="51">
        <f t="shared" si="0"/>
        <v>517</v>
      </c>
      <c r="AR18" s="51">
        <f t="shared" si="0"/>
        <v>54</v>
      </c>
    </row>
    <row r="19" spans="1:44" x14ac:dyDescent="0.25">
      <c r="A19" s="39" t="s">
        <v>146</v>
      </c>
      <c r="C19" s="53">
        <f>97+46</f>
        <v>143</v>
      </c>
      <c r="D19" s="53">
        <f>74+67</f>
        <v>141</v>
      </c>
      <c r="E19" s="53">
        <f>1+2</f>
        <v>3</v>
      </c>
      <c r="F19" s="53">
        <v>0</v>
      </c>
      <c r="G19" s="53">
        <v>0</v>
      </c>
      <c r="H19" s="44"/>
      <c r="I19" s="53">
        <f>94+43</f>
        <v>137</v>
      </c>
      <c r="J19" s="53">
        <f>76+71</f>
        <v>147</v>
      </c>
      <c r="K19" s="44"/>
      <c r="L19" s="53">
        <f>90+44</f>
        <v>134</v>
      </c>
      <c r="M19" s="53">
        <f>88+43</f>
        <v>131</v>
      </c>
      <c r="N19" s="53">
        <f>81+67</f>
        <v>148</v>
      </c>
      <c r="O19" s="53">
        <f>78+68</f>
        <v>146</v>
      </c>
      <c r="P19" s="44"/>
      <c r="Q19" s="53">
        <f>89+45</f>
        <v>134</v>
      </c>
      <c r="R19" s="53">
        <f>81+67</f>
        <v>148</v>
      </c>
      <c r="S19" s="44"/>
      <c r="T19" s="53">
        <f>97+49</f>
        <v>146</v>
      </c>
      <c r="U19" s="53">
        <f>73+62</f>
        <v>135</v>
      </c>
      <c r="V19" s="44"/>
      <c r="W19" s="53"/>
      <c r="X19" s="53">
        <f>89+80</f>
        <v>169</v>
      </c>
      <c r="Y19" s="44"/>
      <c r="Z19" s="53">
        <v>99</v>
      </c>
      <c r="AA19" s="53">
        <f>71</f>
        <v>71</v>
      </c>
      <c r="AB19" s="2"/>
      <c r="AC19" s="53"/>
      <c r="AD19" s="53">
        <v>80</v>
      </c>
      <c r="AF19" s="53">
        <f>97+67</f>
        <v>164</v>
      </c>
      <c r="AG19" s="53">
        <f>100+68</f>
        <v>168</v>
      </c>
      <c r="AI19" s="53">
        <f>80+54</f>
        <v>134</v>
      </c>
      <c r="AJ19" s="53">
        <f>76+54</f>
        <v>130</v>
      </c>
      <c r="AL19" s="53">
        <f>108+75</f>
        <v>183</v>
      </c>
      <c r="AM19" s="53">
        <f>44+33</f>
        <v>77</v>
      </c>
      <c r="AO19" s="93"/>
      <c r="AP19" s="93"/>
      <c r="AQ19" s="93"/>
      <c r="AR19" s="93"/>
    </row>
    <row r="20" spans="1:44" x14ac:dyDescent="0.25">
      <c r="A20" s="39" t="s">
        <v>43</v>
      </c>
      <c r="C20" s="41">
        <v>158</v>
      </c>
      <c r="D20" s="41">
        <v>351</v>
      </c>
      <c r="E20" s="41">
        <v>1</v>
      </c>
      <c r="F20" s="41">
        <v>1</v>
      </c>
      <c r="G20" s="41">
        <v>0</v>
      </c>
      <c r="H20" s="44"/>
      <c r="I20" s="41">
        <v>148</v>
      </c>
      <c r="J20" s="41">
        <v>358</v>
      </c>
      <c r="K20" s="44"/>
      <c r="L20" s="41">
        <v>158</v>
      </c>
      <c r="M20" s="41">
        <v>147</v>
      </c>
      <c r="N20" s="41">
        <v>342</v>
      </c>
      <c r="O20" s="41">
        <v>352</v>
      </c>
      <c r="P20" s="44"/>
      <c r="Q20" s="41">
        <v>145</v>
      </c>
      <c r="R20" s="41">
        <v>358</v>
      </c>
      <c r="S20" s="44"/>
      <c r="T20" s="41">
        <v>174</v>
      </c>
      <c r="U20" s="41">
        <v>331</v>
      </c>
      <c r="V20" s="44"/>
      <c r="W20" s="41"/>
      <c r="X20" s="41">
        <v>382</v>
      </c>
      <c r="Y20" s="44"/>
      <c r="Z20" s="41">
        <v>106</v>
      </c>
      <c r="AA20" s="41">
        <v>173</v>
      </c>
      <c r="AB20" s="2"/>
      <c r="AC20" s="41"/>
      <c r="AD20" s="41">
        <v>174</v>
      </c>
      <c r="AF20" s="41">
        <v>379</v>
      </c>
      <c r="AG20" s="41">
        <v>403</v>
      </c>
      <c r="AI20" s="41">
        <v>234</v>
      </c>
      <c r="AJ20" s="41">
        <v>256</v>
      </c>
      <c r="AL20" s="41">
        <v>314</v>
      </c>
      <c r="AM20" s="41">
        <v>171</v>
      </c>
      <c r="AO20" s="93"/>
      <c r="AP20" s="93"/>
      <c r="AQ20" s="93"/>
      <c r="AR20" s="93"/>
    </row>
    <row r="21" spans="1:44" x14ac:dyDescent="0.25">
      <c r="A21" s="94" t="s">
        <v>644</v>
      </c>
      <c r="C21" s="41">
        <v>6</v>
      </c>
      <c r="D21" s="41">
        <v>8</v>
      </c>
      <c r="E21" s="41">
        <v>0</v>
      </c>
      <c r="F21" s="41">
        <v>0</v>
      </c>
      <c r="G21" s="41">
        <v>0</v>
      </c>
      <c r="H21" s="44"/>
      <c r="I21" s="41">
        <v>6</v>
      </c>
      <c r="J21" s="41">
        <v>8</v>
      </c>
      <c r="K21" s="44"/>
      <c r="L21" s="41">
        <v>7</v>
      </c>
      <c r="M21" s="41">
        <v>6</v>
      </c>
      <c r="N21" s="41">
        <v>8</v>
      </c>
      <c r="O21" s="41">
        <v>7</v>
      </c>
      <c r="P21" s="44"/>
      <c r="Q21" s="41">
        <v>6</v>
      </c>
      <c r="R21" s="41">
        <v>8</v>
      </c>
      <c r="S21" s="44"/>
      <c r="T21" s="41">
        <v>7</v>
      </c>
      <c r="U21" s="41">
        <v>7</v>
      </c>
      <c r="V21" s="44"/>
      <c r="W21" s="41"/>
      <c r="X21" s="41">
        <v>11</v>
      </c>
      <c r="Y21" s="44"/>
      <c r="Z21" s="41">
        <v>7</v>
      </c>
      <c r="AA21" s="41">
        <v>2</v>
      </c>
      <c r="AB21" s="2"/>
      <c r="AC21" s="41"/>
      <c r="AD21" s="41">
        <v>5</v>
      </c>
      <c r="AF21" s="41">
        <v>8</v>
      </c>
      <c r="AG21" s="41">
        <v>9</v>
      </c>
      <c r="AI21" s="41">
        <v>8</v>
      </c>
      <c r="AJ21" s="41">
        <v>4</v>
      </c>
      <c r="AL21" s="41">
        <v>10</v>
      </c>
      <c r="AM21" s="41">
        <v>2</v>
      </c>
      <c r="AO21" s="93"/>
      <c r="AP21" s="93"/>
      <c r="AQ21" s="93"/>
      <c r="AR21" s="93"/>
    </row>
    <row r="22" spans="1:44" s="192" customFormat="1" x14ac:dyDescent="0.25">
      <c r="A22" s="94" t="s">
        <v>645</v>
      </c>
      <c r="C22" s="41">
        <v>22</v>
      </c>
      <c r="D22" s="41">
        <v>16</v>
      </c>
      <c r="E22" s="41">
        <v>1</v>
      </c>
      <c r="F22" s="41">
        <v>0</v>
      </c>
      <c r="G22" s="41">
        <v>0</v>
      </c>
      <c r="H22" s="44"/>
      <c r="I22" s="41">
        <v>22</v>
      </c>
      <c r="J22" s="41">
        <v>17</v>
      </c>
      <c r="K22" s="44"/>
      <c r="L22" s="41">
        <v>22</v>
      </c>
      <c r="M22" s="41">
        <v>20</v>
      </c>
      <c r="N22" s="41">
        <v>14</v>
      </c>
      <c r="O22" s="41">
        <v>15</v>
      </c>
      <c r="P22" s="44"/>
      <c r="Q22" s="41">
        <v>19</v>
      </c>
      <c r="R22" s="41">
        <v>18</v>
      </c>
      <c r="S22" s="44"/>
      <c r="T22" s="41">
        <v>23</v>
      </c>
      <c r="U22" s="41">
        <v>14</v>
      </c>
      <c r="V22" s="44"/>
      <c r="W22" s="41"/>
      <c r="X22" s="41">
        <v>20</v>
      </c>
      <c r="Y22" s="216"/>
      <c r="Z22" s="41">
        <v>14</v>
      </c>
      <c r="AA22" s="41">
        <v>8</v>
      </c>
      <c r="AB22" s="2"/>
      <c r="AC22" s="41"/>
      <c r="AD22" s="41">
        <v>9</v>
      </c>
      <c r="AF22" s="41">
        <v>19</v>
      </c>
      <c r="AG22" s="41">
        <v>19</v>
      </c>
      <c r="AI22" s="41">
        <v>20</v>
      </c>
      <c r="AJ22" s="41">
        <v>13</v>
      </c>
      <c r="AL22" s="41">
        <v>29</v>
      </c>
      <c r="AM22" s="41">
        <v>4</v>
      </c>
      <c r="AO22" s="93"/>
      <c r="AP22" s="93"/>
      <c r="AQ22" s="93"/>
      <c r="AR22" s="93"/>
    </row>
    <row r="23" spans="1:44" ht="15.75" thickBot="1" x14ac:dyDescent="0.3">
      <c r="A23" s="1" t="s">
        <v>651</v>
      </c>
      <c r="C23" s="53">
        <f>2+2</f>
        <v>4</v>
      </c>
      <c r="D23" s="53">
        <v>0</v>
      </c>
      <c r="E23" s="53">
        <v>0</v>
      </c>
      <c r="F23" s="53">
        <v>0</v>
      </c>
      <c r="G23" s="53">
        <v>0</v>
      </c>
      <c r="H23" s="44"/>
      <c r="I23" s="53">
        <f>2+1</f>
        <v>3</v>
      </c>
      <c r="J23" s="53">
        <f>1</f>
        <v>1</v>
      </c>
      <c r="K23" s="44"/>
      <c r="L23" s="53">
        <f>2+1</f>
        <v>3</v>
      </c>
      <c r="M23" s="53">
        <f>2+1</f>
        <v>3</v>
      </c>
      <c r="N23" s="53">
        <f>1</f>
        <v>1</v>
      </c>
      <c r="O23" s="53">
        <f>1</f>
        <v>1</v>
      </c>
      <c r="P23" s="44"/>
      <c r="Q23" s="53">
        <f>2+3</f>
        <v>5</v>
      </c>
      <c r="R23" s="53">
        <v>0</v>
      </c>
      <c r="S23" s="44"/>
      <c r="T23" s="53">
        <f>2+3</f>
        <v>5</v>
      </c>
      <c r="U23" s="53">
        <v>0</v>
      </c>
      <c r="V23" s="44"/>
      <c r="W23" s="53"/>
      <c r="X23" s="53">
        <v>0</v>
      </c>
      <c r="Y23" s="44"/>
      <c r="Z23" s="53">
        <v>1</v>
      </c>
      <c r="AA23" s="53">
        <v>0</v>
      </c>
      <c r="AB23" s="2"/>
      <c r="AC23" s="53"/>
      <c r="AD23" s="53">
        <v>0</v>
      </c>
      <c r="AE23" s="192"/>
      <c r="AF23" s="53">
        <v>1</v>
      </c>
      <c r="AG23" s="53">
        <v>1</v>
      </c>
      <c r="AH23" s="192"/>
      <c r="AI23" s="53">
        <v>0</v>
      </c>
      <c r="AJ23" s="53">
        <f>1+3</f>
        <v>4</v>
      </c>
      <c r="AK23" s="213" t="s">
        <v>258</v>
      </c>
      <c r="AL23" s="53">
        <v>0</v>
      </c>
      <c r="AM23" s="53">
        <f>1+3</f>
        <v>4</v>
      </c>
    </row>
    <row r="24" spans="1:44" ht="15.75" thickBot="1" x14ac:dyDescent="0.3">
      <c r="A24" s="87" t="s">
        <v>45</v>
      </c>
      <c r="C24" s="51">
        <f>+SUM(C18:C23)</f>
        <v>1856</v>
      </c>
      <c r="D24" s="51">
        <f>+SUM(D18:D23)</f>
        <v>1340</v>
      </c>
      <c r="E24" s="51">
        <f>+SUM(E18:E23)</f>
        <v>17</v>
      </c>
      <c r="F24" s="51">
        <f>+SUM(F18:F23)</f>
        <v>7</v>
      </c>
      <c r="G24" s="51">
        <f>+SUM(G18:G23)</f>
        <v>1</v>
      </c>
      <c r="H24" s="91"/>
      <c r="I24" s="51">
        <f>+SUM(I18:I23)</f>
        <v>1781</v>
      </c>
      <c r="J24" s="51">
        <f>+SUM(J18:J23)</f>
        <v>1401</v>
      </c>
      <c r="K24" s="91"/>
      <c r="L24" s="51">
        <f>+SUM(L18:L23)</f>
        <v>1788</v>
      </c>
      <c r="M24" s="51">
        <f>+SUM(M18:M23)</f>
        <v>1757</v>
      </c>
      <c r="N24" s="51">
        <f>+SUM(N18:N23)</f>
        <v>1361</v>
      </c>
      <c r="O24" s="51">
        <f>+SUM(O18:O23)</f>
        <v>1345</v>
      </c>
      <c r="P24" s="91"/>
      <c r="Q24" s="51">
        <f>+SUM(Q18:Q23)</f>
        <v>1778</v>
      </c>
      <c r="R24" s="51">
        <f>+SUM(R18:R23)</f>
        <v>1375</v>
      </c>
      <c r="S24" s="91"/>
      <c r="T24" s="51">
        <f>+SUM(T18:T23)</f>
        <v>1924</v>
      </c>
      <c r="U24" s="51">
        <f>+SUM(U18:U23)</f>
        <v>1233</v>
      </c>
      <c r="V24" s="91"/>
      <c r="W24" s="51">
        <f>+SUM(W18:W23)</f>
        <v>0</v>
      </c>
      <c r="X24" s="51">
        <f>+SUM(X18:X23)</f>
        <v>1759</v>
      </c>
      <c r="Y24" s="91"/>
      <c r="Z24" s="51">
        <f>+SUM(Z18:Z23)</f>
        <v>1179</v>
      </c>
      <c r="AA24" s="51">
        <f>+SUM(AA18:AA23)</f>
        <v>626</v>
      </c>
      <c r="AB24" s="192"/>
      <c r="AC24" s="51">
        <f>+SUM(AC18:AC23)</f>
        <v>0</v>
      </c>
      <c r="AD24" s="51">
        <f>+SUM(AD18:AD23)</f>
        <v>802</v>
      </c>
      <c r="AE24" s="192"/>
      <c r="AF24" s="51">
        <f>+SUM(AF18:AF23)</f>
        <v>1815</v>
      </c>
      <c r="AG24" s="51">
        <f>+SUM(AG18:AG23)</f>
        <v>2039</v>
      </c>
      <c r="AH24" s="192"/>
      <c r="AI24" s="51">
        <f>+SUM(AI18:AI23)</f>
        <v>1496</v>
      </c>
      <c r="AJ24" s="51">
        <f>+SUM(AJ18:AJ23)</f>
        <v>1381</v>
      </c>
      <c r="AK24" s="192"/>
      <c r="AL24" s="51">
        <f>+SUM(AL18:AL23)</f>
        <v>1901</v>
      </c>
      <c r="AM24" s="51">
        <f>+SUM(AM18:AM23)</f>
        <v>920</v>
      </c>
    </row>
    <row r="29" spans="1:44" x14ac:dyDescent="0.25">
      <c r="AD29" s="31"/>
    </row>
    <row r="30" spans="1:44" x14ac:dyDescent="0.25">
      <c r="AD30" s="31"/>
    </row>
    <row r="31" spans="1:44" x14ac:dyDescent="0.25">
      <c r="AD31" s="31"/>
    </row>
  </sheetData>
  <sortState ref="A21:AS22">
    <sortCondition ref="A21"/>
  </sortState>
  <mergeCells count="27">
    <mergeCell ref="AF2:AG2"/>
    <mergeCell ref="AF3:AG3"/>
    <mergeCell ref="AI3:AJ3"/>
    <mergeCell ref="AL3:AM3"/>
    <mergeCell ref="AI6:AI8"/>
    <mergeCell ref="AJ6:AJ8"/>
    <mergeCell ref="AL6:AL8"/>
    <mergeCell ref="AM6:AM8"/>
    <mergeCell ref="AC2:AD2"/>
    <mergeCell ref="W3:X3"/>
    <mergeCell ref="Z3:AA3"/>
    <mergeCell ref="C2:G2"/>
    <mergeCell ref="C3:G3"/>
    <mergeCell ref="I3:J3"/>
    <mergeCell ref="I2:O2"/>
    <mergeCell ref="Q3:R3"/>
    <mergeCell ref="T3:U3"/>
    <mergeCell ref="L3:O3"/>
    <mergeCell ref="Z2:AA2"/>
    <mergeCell ref="AC3:AD3"/>
    <mergeCell ref="AQ14:AQ16"/>
    <mergeCell ref="AQ11:AQ13"/>
    <mergeCell ref="AP14:AP16"/>
    <mergeCell ref="AP11:AP13"/>
    <mergeCell ref="AO2:AR3"/>
    <mergeCell ref="AR14:AR16"/>
    <mergeCell ref="AR11:AR1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9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"/>
  <sheetViews>
    <sheetView zoomScale="75" zoomScaleNormal="75" workbookViewId="0">
      <pane xSplit="1" topLeftCell="D1" activePane="topRight" state="frozen"/>
      <selection pane="topRight"/>
    </sheetView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7" width="14" style="191" customWidth="1"/>
    <col min="28" max="28" width="1.7109375" style="191" customWidth="1"/>
    <col min="29" max="30" width="14" style="191" customWidth="1"/>
    <col min="31" max="31" width="1.7109375" style="191" customWidth="1"/>
    <col min="32" max="36" width="14" style="191" customWidth="1"/>
    <col min="37" max="37" width="1.7109375" style="191" customWidth="1"/>
    <col min="38" max="38" width="18.85546875" style="191" customWidth="1"/>
    <col min="39" max="39" width="1.7109375" style="191" customWidth="1"/>
    <col min="40" max="41" width="14" style="191" customWidth="1"/>
    <col min="42" max="42" width="1.7109375" style="191" customWidth="1"/>
    <col min="43" max="44" width="14" style="191" customWidth="1"/>
    <col min="45" max="45" width="1.7109375" style="191" customWidth="1"/>
    <col min="46" max="46" width="9.7109375" style="191" customWidth="1"/>
    <col min="47" max="48" width="9.5703125" style="191" customWidth="1"/>
    <col min="49" max="49" width="9.7109375" style="191" customWidth="1"/>
    <col min="50" max="69" width="13.42578125" style="191" customWidth="1"/>
    <col min="70" max="16384" width="9.140625" style="191"/>
  </cols>
  <sheetData>
    <row r="1" spans="1:49" x14ac:dyDescent="0.25">
      <c r="AL1" s="177" t="s">
        <v>453</v>
      </c>
    </row>
    <row r="2" spans="1:49" x14ac:dyDescent="0.25">
      <c r="AC2" s="224" t="s">
        <v>147</v>
      </c>
      <c r="AD2" s="226"/>
      <c r="AL2" s="178" t="s">
        <v>514</v>
      </c>
    </row>
    <row r="3" spans="1:49" x14ac:dyDescent="0.25">
      <c r="C3" s="224"/>
      <c r="D3" s="225"/>
      <c r="E3" s="225"/>
      <c r="F3" s="225"/>
      <c r="G3" s="226"/>
      <c r="I3" s="224" t="s">
        <v>2</v>
      </c>
      <c r="J3" s="225"/>
      <c r="K3" s="225"/>
      <c r="L3" s="225"/>
      <c r="M3" s="225"/>
      <c r="N3" s="225"/>
      <c r="O3" s="226"/>
      <c r="Q3" s="80"/>
      <c r="R3" s="81"/>
      <c r="T3" s="80"/>
      <c r="U3" s="81"/>
      <c r="W3" s="224" t="s">
        <v>147</v>
      </c>
      <c r="X3" s="226"/>
      <c r="Z3" s="224" t="s">
        <v>147</v>
      </c>
      <c r="AA3" s="226"/>
      <c r="AC3" s="222" t="s">
        <v>150</v>
      </c>
      <c r="AD3" s="223"/>
      <c r="AF3" s="112"/>
      <c r="AG3" s="125"/>
      <c r="AH3" s="125"/>
      <c r="AI3" s="125"/>
      <c r="AJ3" s="113"/>
      <c r="AL3" s="178" t="s">
        <v>312</v>
      </c>
      <c r="AN3" s="80"/>
      <c r="AO3" s="81"/>
      <c r="AQ3" s="80"/>
      <c r="AR3" s="81"/>
      <c r="AT3" s="234" t="s">
        <v>5</v>
      </c>
      <c r="AU3" s="235"/>
      <c r="AV3" s="235"/>
      <c r="AW3" s="236"/>
    </row>
    <row r="4" spans="1:49" x14ac:dyDescent="0.25">
      <c r="C4" s="222" t="s">
        <v>46</v>
      </c>
      <c r="D4" s="227"/>
      <c r="E4" s="227"/>
      <c r="F4" s="227"/>
      <c r="G4" s="223"/>
      <c r="I4" s="222" t="s">
        <v>88</v>
      </c>
      <c r="J4" s="227"/>
      <c r="K4" s="140"/>
      <c r="L4" s="227" t="s">
        <v>0</v>
      </c>
      <c r="M4" s="227"/>
      <c r="N4" s="227"/>
      <c r="O4" s="223"/>
      <c r="Q4" s="222" t="s">
        <v>121</v>
      </c>
      <c r="R4" s="223"/>
      <c r="T4" s="222" t="s">
        <v>122</v>
      </c>
      <c r="U4" s="223"/>
      <c r="W4" s="222" t="s">
        <v>149</v>
      </c>
      <c r="X4" s="223"/>
      <c r="Z4" s="222" t="s">
        <v>150</v>
      </c>
      <c r="AA4" s="223"/>
      <c r="AC4" s="222" t="s">
        <v>356</v>
      </c>
      <c r="AD4" s="223"/>
      <c r="AF4" s="222" t="s">
        <v>240</v>
      </c>
      <c r="AG4" s="227"/>
      <c r="AH4" s="227"/>
      <c r="AI4" s="227"/>
      <c r="AJ4" s="223"/>
      <c r="AL4" s="178" t="s">
        <v>454</v>
      </c>
      <c r="AN4" s="222" t="s">
        <v>126</v>
      </c>
      <c r="AO4" s="223"/>
      <c r="AQ4" s="222" t="s">
        <v>127</v>
      </c>
      <c r="AR4" s="223"/>
      <c r="AT4" s="219"/>
      <c r="AU4" s="220"/>
      <c r="AV4" s="220"/>
      <c r="AW4" s="221"/>
    </row>
    <row r="5" spans="1:49" ht="5.0999999999999996" customHeight="1" thickBot="1" x14ac:dyDescent="0.3">
      <c r="C5" s="115"/>
      <c r="D5" s="117"/>
      <c r="E5" s="117"/>
      <c r="F5" s="117"/>
      <c r="G5" s="116"/>
      <c r="I5" s="115"/>
      <c r="J5" s="117"/>
      <c r="K5" s="140"/>
      <c r="L5" s="68"/>
      <c r="M5" s="68"/>
      <c r="N5" s="68"/>
      <c r="O5" s="69"/>
      <c r="Q5" s="82"/>
      <c r="R5" s="83"/>
      <c r="T5" s="82"/>
      <c r="U5" s="83"/>
      <c r="W5" s="99"/>
      <c r="X5" s="69"/>
      <c r="Z5" s="99"/>
      <c r="AA5" s="69"/>
      <c r="AC5" s="99"/>
      <c r="AD5" s="69"/>
      <c r="AF5" s="99"/>
      <c r="AG5" s="68"/>
      <c r="AH5" s="68"/>
      <c r="AI5" s="68"/>
      <c r="AJ5" s="69"/>
      <c r="AL5" s="198"/>
      <c r="AN5" s="75"/>
      <c r="AO5" s="74"/>
      <c r="AQ5" s="75"/>
      <c r="AR5" s="74"/>
      <c r="AT5" s="204"/>
      <c r="AU5" s="205"/>
      <c r="AV5" s="205"/>
      <c r="AW5" s="206"/>
    </row>
    <row r="6" spans="1:49" x14ac:dyDescent="0.25">
      <c r="C6" s="5"/>
      <c r="D6" s="8"/>
      <c r="E6" s="8"/>
      <c r="F6" s="8"/>
      <c r="G6" s="6"/>
      <c r="I6" s="5"/>
      <c r="J6" s="6"/>
      <c r="L6" s="89"/>
      <c r="M6" s="98"/>
      <c r="N6" s="98"/>
      <c r="O6" s="6"/>
      <c r="Q6" s="5"/>
      <c r="R6" s="6"/>
      <c r="T6" s="5"/>
      <c r="U6" s="6"/>
      <c r="W6" s="5"/>
      <c r="X6" s="6"/>
      <c r="Z6" s="5"/>
      <c r="AA6" s="6"/>
      <c r="AC6" s="5"/>
      <c r="AD6" s="6"/>
      <c r="AF6" s="5"/>
      <c r="AG6" s="8"/>
      <c r="AH6" s="8"/>
      <c r="AI6" s="8"/>
      <c r="AJ6" s="6"/>
      <c r="AL6" s="201"/>
      <c r="AN6" s="10"/>
      <c r="AO6" s="12"/>
      <c r="AQ6" s="10"/>
      <c r="AR6" s="12"/>
      <c r="AT6" s="157"/>
      <c r="AU6" s="158"/>
      <c r="AV6" s="158"/>
      <c r="AW6" s="159"/>
    </row>
    <row r="7" spans="1:49" x14ac:dyDescent="0.25">
      <c r="C7" s="20" t="str">
        <f>+'Lead Sheet'!C6</f>
        <v>Jack</v>
      </c>
      <c r="D7" s="7" t="str">
        <f>+'Lead Sheet'!D6</f>
        <v>Philip</v>
      </c>
      <c r="E7" s="7" t="str">
        <f>+'Lead Sheet'!E6</f>
        <v>Madelyn R.</v>
      </c>
      <c r="F7" s="7" t="str">
        <f>+'Lead Sheet'!F6</f>
        <v>Gregg</v>
      </c>
      <c r="G7" s="21" t="str">
        <f>+'Lead Sheet'!G6</f>
        <v>Joanne</v>
      </c>
      <c r="I7" s="20" t="str">
        <f>+'Lead Sheet'!S6</f>
        <v>Vince</v>
      </c>
      <c r="J7" s="21" t="str">
        <f>+'Lead Sheet'!T6</f>
        <v>Vince</v>
      </c>
      <c r="L7" s="20" t="str">
        <f>+'Lead Sheet'!V6</f>
        <v>Don</v>
      </c>
      <c r="M7" s="7" t="str">
        <f>+'Lead Sheet'!W6</f>
        <v>Claire</v>
      </c>
      <c r="N7" s="7" t="str">
        <f>+'Lead Sheet'!X6</f>
        <v>John</v>
      </c>
      <c r="O7" s="21" t="str">
        <f>+'Lead Sheet'!Y6</f>
        <v>Caren</v>
      </c>
      <c r="Q7" s="20" t="str">
        <f>+'Lead Sheet'!AR6</f>
        <v>Joseph J.</v>
      </c>
      <c r="R7" s="21" t="str">
        <f>+'Lead Sheet'!AS6</f>
        <v>Lisa</v>
      </c>
      <c r="T7" s="20" t="str">
        <f>+'Lead Sheet'!AU6</f>
        <v>Frank X.</v>
      </c>
      <c r="U7" s="21" t="str">
        <f>+'Lead Sheet'!AV6</f>
        <v>Celeste</v>
      </c>
      <c r="W7" s="20" t="s">
        <v>183</v>
      </c>
      <c r="X7" s="21" t="s">
        <v>576</v>
      </c>
      <c r="Z7" s="20" t="s">
        <v>183</v>
      </c>
      <c r="AA7" s="21" t="s">
        <v>578</v>
      </c>
      <c r="AC7" s="20" t="s">
        <v>183</v>
      </c>
      <c r="AD7" s="21" t="s">
        <v>580</v>
      </c>
      <c r="AF7" s="20" t="s">
        <v>582</v>
      </c>
      <c r="AG7" s="7" t="s">
        <v>584</v>
      </c>
      <c r="AH7" s="7" t="s">
        <v>586</v>
      </c>
      <c r="AI7" s="7" t="s">
        <v>588</v>
      </c>
      <c r="AJ7" s="21" t="s">
        <v>590</v>
      </c>
      <c r="AL7" s="193" t="s">
        <v>592</v>
      </c>
      <c r="AN7" s="229" t="s">
        <v>9</v>
      </c>
      <c r="AO7" s="230" t="s">
        <v>10</v>
      </c>
      <c r="AQ7" s="229" t="s">
        <v>9</v>
      </c>
      <c r="AR7" s="230" t="s">
        <v>10</v>
      </c>
      <c r="AT7" s="160" t="s">
        <v>8</v>
      </c>
      <c r="AU7" s="161" t="s">
        <v>8</v>
      </c>
      <c r="AV7" s="161" t="s">
        <v>8</v>
      </c>
      <c r="AW7" s="162" t="s">
        <v>8</v>
      </c>
    </row>
    <row r="8" spans="1:49" ht="15" customHeight="1" x14ac:dyDescent="0.25">
      <c r="C8" s="20" t="str">
        <f>+'Lead Sheet'!C7</f>
        <v>CIATTARELLI</v>
      </c>
      <c r="D8" s="7" t="str">
        <f>+'Lead Sheet'!D7</f>
        <v>MURPHY</v>
      </c>
      <c r="E8" s="7" t="str">
        <f>+'Lead Sheet'!E7</f>
        <v>HOFFMAN</v>
      </c>
      <c r="F8" s="7" t="str">
        <f>+'Lead Sheet'!F7</f>
        <v>MELE</v>
      </c>
      <c r="G8" s="21" t="str">
        <f>+'Lead Sheet'!G7</f>
        <v>KUNIANSKY</v>
      </c>
      <c r="I8" s="20" t="str">
        <f>+'Lead Sheet'!S7</f>
        <v>POLISTINA</v>
      </c>
      <c r="J8" s="21" t="str">
        <f>+'Lead Sheet'!T7</f>
        <v>MAZZEO</v>
      </c>
      <c r="L8" s="20" t="str">
        <f>+'Lead Sheet'!V7</f>
        <v>GUARDIAN</v>
      </c>
      <c r="M8" s="7" t="str">
        <f>+'Lead Sheet'!W7</f>
        <v>SWIFT</v>
      </c>
      <c r="N8" s="7" t="str">
        <f>+'Lead Sheet'!X7</f>
        <v>ARMATO</v>
      </c>
      <c r="O8" s="21" t="str">
        <f>+'Lead Sheet'!Y7</f>
        <v>FITZPATRICK</v>
      </c>
      <c r="Q8" s="20" t="str">
        <f>+'Lead Sheet'!AR7</f>
        <v>GIRALO</v>
      </c>
      <c r="R8" s="21" t="str">
        <f>+'Lead Sheet'!AS7</f>
        <v>JIAMPETTI</v>
      </c>
      <c r="T8" s="20" t="str">
        <f>+'Lead Sheet'!AU7</f>
        <v>BALLES</v>
      </c>
      <c r="U8" s="21" t="str">
        <f>+'Lead Sheet'!AV7</f>
        <v>FERNANDEZ</v>
      </c>
      <c r="W8" s="20" t="s">
        <v>159</v>
      </c>
      <c r="X8" s="21" t="s">
        <v>577</v>
      </c>
      <c r="Z8" s="20" t="s">
        <v>159</v>
      </c>
      <c r="AA8" s="21" t="s">
        <v>579</v>
      </c>
      <c r="AC8" s="20" t="s">
        <v>159</v>
      </c>
      <c r="AD8" s="21" t="s">
        <v>581</v>
      </c>
      <c r="AF8" s="20" t="s">
        <v>583</v>
      </c>
      <c r="AG8" s="7" t="s">
        <v>585</v>
      </c>
      <c r="AH8" s="7" t="s">
        <v>587</v>
      </c>
      <c r="AI8" s="7" t="s">
        <v>589</v>
      </c>
      <c r="AJ8" s="21" t="s">
        <v>591</v>
      </c>
      <c r="AL8" s="193" t="s">
        <v>593</v>
      </c>
      <c r="AN8" s="229"/>
      <c r="AO8" s="230"/>
      <c r="AQ8" s="229"/>
      <c r="AR8" s="230"/>
      <c r="AT8" s="160" t="s">
        <v>12</v>
      </c>
      <c r="AU8" s="161" t="s">
        <v>144</v>
      </c>
      <c r="AV8" s="161" t="s">
        <v>13</v>
      </c>
      <c r="AW8" s="162" t="s">
        <v>14</v>
      </c>
    </row>
    <row r="9" spans="1:49" x14ac:dyDescent="0.25">
      <c r="C9" s="20" t="str">
        <f>+'Lead Sheet'!C8</f>
        <v>Republican</v>
      </c>
      <c r="D9" s="7" t="str">
        <f>+'Lead Sheet'!D8</f>
        <v>Democrat</v>
      </c>
      <c r="E9" s="7" t="str">
        <f>+'Lead Sheet'!E8</f>
        <v>Green Party</v>
      </c>
      <c r="F9" s="7" t="str">
        <f>+'Lead Sheet'!F8</f>
        <v>Libertarian Party</v>
      </c>
      <c r="G9" s="21" t="str">
        <f>+'Lead Sheet'!G8</f>
        <v>Socialist Workers</v>
      </c>
      <c r="I9" s="20" t="str">
        <f>+'Lead Sheet'!S8</f>
        <v>Republican</v>
      </c>
      <c r="J9" s="21" t="str">
        <f>+'Lead Sheet'!T8</f>
        <v>Democrat</v>
      </c>
      <c r="L9" s="20" t="str">
        <f>+'Lead Sheet'!V8</f>
        <v>Republican</v>
      </c>
      <c r="M9" s="7" t="str">
        <f>+'Lead Sheet'!W8</f>
        <v>Republican</v>
      </c>
      <c r="N9" s="7" t="str">
        <f>+'Lead Sheet'!X8</f>
        <v>Democrat</v>
      </c>
      <c r="O9" s="21" t="str">
        <f>+'Lead Sheet'!Y8</f>
        <v>Democrat</v>
      </c>
      <c r="Q9" s="20" t="str">
        <f>+'Lead Sheet'!AR8</f>
        <v>Republican</v>
      </c>
      <c r="R9" s="21" t="str">
        <f>+'Lead Sheet'!AS8</f>
        <v>Democrat</v>
      </c>
      <c r="T9" s="20" t="str">
        <f>+'Lead Sheet'!AU8</f>
        <v>Republican</v>
      </c>
      <c r="U9" s="21" t="str">
        <f>+'Lead Sheet'!AV8</f>
        <v>Democrat</v>
      </c>
      <c r="W9" s="20" t="s">
        <v>16</v>
      </c>
      <c r="X9" s="21" t="s">
        <v>59</v>
      </c>
      <c r="Z9" s="20" t="s">
        <v>16</v>
      </c>
      <c r="AA9" s="21" t="s">
        <v>59</v>
      </c>
      <c r="AC9" s="20" t="s">
        <v>16</v>
      </c>
      <c r="AD9" s="21" t="s">
        <v>59</v>
      </c>
      <c r="AF9" s="20"/>
      <c r="AG9" s="7"/>
      <c r="AH9" s="7"/>
      <c r="AI9" s="7"/>
      <c r="AJ9" s="21"/>
      <c r="AL9" s="193"/>
      <c r="AN9" s="229"/>
      <c r="AO9" s="230"/>
      <c r="AQ9" s="229"/>
      <c r="AR9" s="230"/>
      <c r="AT9" s="160" t="s">
        <v>18</v>
      </c>
      <c r="AU9" s="161" t="s">
        <v>145</v>
      </c>
      <c r="AV9" s="161" t="s">
        <v>19</v>
      </c>
      <c r="AW9" s="162" t="s">
        <v>18</v>
      </c>
    </row>
    <row r="10" spans="1:49" x14ac:dyDescent="0.25">
      <c r="C10" s="60"/>
      <c r="D10" s="31"/>
      <c r="E10" s="31"/>
      <c r="F10" s="31"/>
      <c r="G10" s="61" t="str">
        <f>+'Lead Sheet'!G9</f>
        <v>Party</v>
      </c>
      <c r="I10" s="20"/>
      <c r="J10" s="21"/>
      <c r="L10" s="20"/>
      <c r="M10" s="7"/>
      <c r="N10" s="7"/>
      <c r="O10" s="21"/>
      <c r="Q10" s="20"/>
      <c r="R10" s="21"/>
      <c r="T10" s="20"/>
      <c r="U10" s="21"/>
      <c r="W10" s="20"/>
      <c r="X10" s="21"/>
      <c r="Z10" s="20"/>
      <c r="AA10" s="21"/>
      <c r="AC10" s="20"/>
      <c r="AD10" s="21"/>
      <c r="AF10" s="20"/>
      <c r="AG10" s="7"/>
      <c r="AH10" s="7"/>
      <c r="AI10" s="7"/>
      <c r="AJ10" s="21"/>
      <c r="AL10" s="193"/>
      <c r="AN10" s="27"/>
      <c r="AO10" s="28"/>
      <c r="AQ10" s="27"/>
      <c r="AR10" s="28"/>
      <c r="AT10" s="164"/>
      <c r="AU10" s="163"/>
      <c r="AV10" s="163"/>
      <c r="AW10" s="165"/>
    </row>
    <row r="11" spans="1:49" ht="5.0999999999999996" customHeight="1" thickBot="1" x14ac:dyDescent="0.3">
      <c r="C11" s="29"/>
      <c r="D11" s="32"/>
      <c r="E11" s="32"/>
      <c r="F11" s="32"/>
      <c r="G11" s="30"/>
      <c r="I11" s="33"/>
      <c r="J11" s="35"/>
      <c r="L11" s="33"/>
      <c r="M11" s="34"/>
      <c r="N11" s="34"/>
      <c r="O11" s="35"/>
      <c r="Q11" s="33"/>
      <c r="R11" s="35"/>
      <c r="T11" s="33"/>
      <c r="U11" s="35"/>
      <c r="W11" s="33"/>
      <c r="X11" s="35"/>
      <c r="Z11" s="33"/>
      <c r="AA11" s="35"/>
      <c r="AC11" s="33"/>
      <c r="AD11" s="35"/>
      <c r="AF11" s="33"/>
      <c r="AG11" s="34"/>
      <c r="AH11" s="34"/>
      <c r="AI11" s="34"/>
      <c r="AJ11" s="35"/>
      <c r="AL11" s="199"/>
      <c r="AN11" s="36"/>
      <c r="AO11" s="38"/>
      <c r="AQ11" s="36"/>
      <c r="AR11" s="38"/>
      <c r="AT11" s="166"/>
      <c r="AU11" s="167"/>
      <c r="AV11" s="167"/>
      <c r="AW11" s="168"/>
    </row>
    <row r="12" spans="1:49" x14ac:dyDescent="0.25">
      <c r="A12" s="191" t="s">
        <v>568</v>
      </c>
      <c r="B12" s="132"/>
      <c r="C12" s="40">
        <v>70</v>
      </c>
      <c r="D12" s="40">
        <v>167</v>
      </c>
      <c r="E12" s="40">
        <v>3</v>
      </c>
      <c r="F12" s="40">
        <v>0</v>
      </c>
      <c r="G12" s="40">
        <v>0</v>
      </c>
      <c r="H12" s="132"/>
      <c r="I12" s="40">
        <v>74</v>
      </c>
      <c r="J12" s="40">
        <v>162</v>
      </c>
      <c r="K12" s="132"/>
      <c r="L12" s="40">
        <v>77</v>
      </c>
      <c r="M12" s="40">
        <v>71</v>
      </c>
      <c r="N12" s="40">
        <v>163</v>
      </c>
      <c r="O12" s="40">
        <v>157</v>
      </c>
      <c r="P12" s="132"/>
      <c r="Q12" s="40">
        <v>75</v>
      </c>
      <c r="R12" s="40">
        <v>158</v>
      </c>
      <c r="S12" s="132"/>
      <c r="T12" s="40">
        <v>78</v>
      </c>
      <c r="U12" s="40">
        <v>154</v>
      </c>
      <c r="V12" s="132"/>
      <c r="W12" s="59"/>
      <c r="X12" s="59">
        <v>174</v>
      </c>
      <c r="Y12" s="132"/>
      <c r="Z12" s="59"/>
      <c r="AA12" s="59"/>
      <c r="AB12" s="132"/>
      <c r="AC12" s="59"/>
      <c r="AD12" s="59"/>
      <c r="AE12" s="132"/>
      <c r="AF12" s="59">
        <v>88</v>
      </c>
      <c r="AG12" s="59">
        <v>88</v>
      </c>
      <c r="AH12" s="59">
        <v>80</v>
      </c>
      <c r="AI12" s="59">
        <v>60</v>
      </c>
      <c r="AJ12" s="59">
        <v>70</v>
      </c>
      <c r="AK12" s="132"/>
      <c r="AL12" s="59">
        <v>135</v>
      </c>
      <c r="AM12" s="132"/>
      <c r="AN12" s="40">
        <v>95</v>
      </c>
      <c r="AO12" s="40">
        <v>77</v>
      </c>
      <c r="AP12" s="132"/>
      <c r="AQ12" s="40">
        <v>101</v>
      </c>
      <c r="AR12" s="40">
        <v>50</v>
      </c>
      <c r="AS12" s="132"/>
      <c r="AT12" s="40">
        <v>243</v>
      </c>
      <c r="AU12" s="237">
        <v>92</v>
      </c>
      <c r="AV12" s="237">
        <v>441</v>
      </c>
      <c r="AW12" s="237">
        <f>4+33</f>
        <v>37</v>
      </c>
    </row>
    <row r="13" spans="1:49" x14ac:dyDescent="0.25">
      <c r="A13" s="191" t="s">
        <v>569</v>
      </c>
      <c r="B13" s="132"/>
      <c r="C13" s="40">
        <v>52</v>
      </c>
      <c r="D13" s="40">
        <v>174</v>
      </c>
      <c r="E13" s="40">
        <v>1</v>
      </c>
      <c r="F13" s="40">
        <v>0</v>
      </c>
      <c r="G13" s="40">
        <v>0</v>
      </c>
      <c r="H13" s="132"/>
      <c r="I13" s="40">
        <v>52</v>
      </c>
      <c r="J13" s="40">
        <v>161</v>
      </c>
      <c r="K13" s="132"/>
      <c r="L13" s="40">
        <v>48</v>
      </c>
      <c r="M13" s="40">
        <v>46</v>
      </c>
      <c r="N13" s="40">
        <v>160</v>
      </c>
      <c r="O13" s="40">
        <v>158</v>
      </c>
      <c r="P13" s="132"/>
      <c r="Q13" s="40">
        <v>45</v>
      </c>
      <c r="R13" s="40">
        <v>161</v>
      </c>
      <c r="S13" s="132"/>
      <c r="T13" s="40">
        <v>53</v>
      </c>
      <c r="U13" s="40">
        <v>153</v>
      </c>
      <c r="V13" s="132"/>
      <c r="W13" s="40"/>
      <c r="X13" s="40">
        <v>169</v>
      </c>
      <c r="Y13" s="132"/>
      <c r="Z13" s="40"/>
      <c r="AA13" s="40"/>
      <c r="AB13" s="132"/>
      <c r="AC13" s="40"/>
      <c r="AD13" s="40"/>
      <c r="AE13" s="132"/>
      <c r="AF13" s="40">
        <v>90</v>
      </c>
      <c r="AG13" s="40">
        <v>85</v>
      </c>
      <c r="AH13" s="40">
        <v>71</v>
      </c>
      <c r="AI13" s="40">
        <v>64</v>
      </c>
      <c r="AJ13" s="40">
        <v>62</v>
      </c>
      <c r="AK13" s="132"/>
      <c r="AL13" s="40">
        <v>126</v>
      </c>
      <c r="AM13" s="132"/>
      <c r="AN13" s="40">
        <v>93</v>
      </c>
      <c r="AO13" s="40">
        <v>61</v>
      </c>
      <c r="AP13" s="132"/>
      <c r="AQ13" s="40">
        <v>82</v>
      </c>
      <c r="AR13" s="40">
        <v>39</v>
      </c>
      <c r="AS13" s="132"/>
      <c r="AT13" s="40">
        <v>232</v>
      </c>
      <c r="AU13" s="232"/>
      <c r="AV13" s="232"/>
      <c r="AW13" s="232"/>
    </row>
    <row r="14" spans="1:49" x14ac:dyDescent="0.25">
      <c r="A14" s="191" t="s">
        <v>570</v>
      </c>
      <c r="B14" s="132"/>
      <c r="C14" s="40">
        <v>48</v>
      </c>
      <c r="D14" s="40">
        <v>147</v>
      </c>
      <c r="E14" s="40">
        <v>0</v>
      </c>
      <c r="F14" s="40">
        <v>0</v>
      </c>
      <c r="G14" s="40">
        <v>0</v>
      </c>
      <c r="H14" s="132"/>
      <c r="I14" s="40">
        <v>41</v>
      </c>
      <c r="J14" s="40">
        <v>151</v>
      </c>
      <c r="K14" s="132"/>
      <c r="L14" s="40">
        <v>45</v>
      </c>
      <c r="M14" s="40">
        <v>41</v>
      </c>
      <c r="N14" s="40">
        <v>147</v>
      </c>
      <c r="O14" s="40">
        <v>137</v>
      </c>
      <c r="P14" s="132"/>
      <c r="Q14" s="40">
        <v>43</v>
      </c>
      <c r="R14" s="40">
        <v>139</v>
      </c>
      <c r="S14" s="132"/>
      <c r="T14" s="40">
        <v>50</v>
      </c>
      <c r="U14" s="40">
        <v>136</v>
      </c>
      <c r="V14" s="132"/>
      <c r="W14" s="40"/>
      <c r="X14" s="40">
        <v>160</v>
      </c>
      <c r="Y14" s="132"/>
      <c r="Z14" s="40"/>
      <c r="AA14" s="40"/>
      <c r="AB14" s="132"/>
      <c r="AC14" s="40"/>
      <c r="AD14" s="40"/>
      <c r="AE14" s="132"/>
      <c r="AF14" s="40">
        <v>90</v>
      </c>
      <c r="AG14" s="40">
        <v>82</v>
      </c>
      <c r="AH14" s="40">
        <v>67</v>
      </c>
      <c r="AI14" s="40">
        <v>43</v>
      </c>
      <c r="AJ14" s="40">
        <v>61</v>
      </c>
      <c r="AK14" s="132"/>
      <c r="AL14" s="40">
        <v>102</v>
      </c>
      <c r="AM14" s="132"/>
      <c r="AN14" s="40">
        <v>44</v>
      </c>
      <c r="AO14" s="40">
        <v>65</v>
      </c>
      <c r="AP14" s="132"/>
      <c r="AQ14" s="40">
        <v>50</v>
      </c>
      <c r="AR14" s="40">
        <v>41</v>
      </c>
      <c r="AS14" s="132"/>
      <c r="AT14" s="40">
        <v>203</v>
      </c>
      <c r="AU14" s="232"/>
      <c r="AV14" s="232"/>
      <c r="AW14" s="232"/>
    </row>
    <row r="15" spans="1:49" x14ac:dyDescent="0.25">
      <c r="A15" s="191" t="s">
        <v>571</v>
      </c>
      <c r="B15" s="132"/>
      <c r="C15" s="40">
        <v>27</v>
      </c>
      <c r="D15" s="40">
        <v>151</v>
      </c>
      <c r="E15" s="40">
        <v>1</v>
      </c>
      <c r="F15" s="40">
        <v>0</v>
      </c>
      <c r="G15" s="40">
        <v>1</v>
      </c>
      <c r="H15" s="132"/>
      <c r="I15" s="40">
        <v>27</v>
      </c>
      <c r="J15" s="40">
        <v>145</v>
      </c>
      <c r="K15" s="132"/>
      <c r="L15" s="40">
        <v>22</v>
      </c>
      <c r="M15" s="40">
        <v>25</v>
      </c>
      <c r="N15" s="40">
        <v>144</v>
      </c>
      <c r="O15" s="40">
        <v>143</v>
      </c>
      <c r="P15" s="132"/>
      <c r="Q15" s="40">
        <v>24</v>
      </c>
      <c r="R15" s="40">
        <v>144</v>
      </c>
      <c r="S15" s="132"/>
      <c r="T15" s="40">
        <v>29</v>
      </c>
      <c r="U15" s="40">
        <v>141</v>
      </c>
      <c r="V15" s="132"/>
      <c r="W15" s="40"/>
      <c r="X15" s="40">
        <v>149</v>
      </c>
      <c r="Y15" s="132"/>
      <c r="Z15" s="40"/>
      <c r="AA15" s="40"/>
      <c r="AB15" s="132"/>
      <c r="AC15" s="40"/>
      <c r="AD15" s="40"/>
      <c r="AE15" s="132"/>
      <c r="AF15" s="40">
        <v>81</v>
      </c>
      <c r="AG15" s="40">
        <v>88</v>
      </c>
      <c r="AH15" s="40">
        <v>68</v>
      </c>
      <c r="AI15" s="40">
        <v>47</v>
      </c>
      <c r="AJ15" s="40">
        <v>72</v>
      </c>
      <c r="AK15" s="132"/>
      <c r="AL15" s="40">
        <v>110</v>
      </c>
      <c r="AM15" s="132"/>
      <c r="AN15" s="40">
        <v>70</v>
      </c>
      <c r="AO15" s="40">
        <v>33</v>
      </c>
      <c r="AP15" s="132"/>
      <c r="AQ15" s="40">
        <v>63</v>
      </c>
      <c r="AR15" s="40">
        <v>26</v>
      </c>
      <c r="AS15" s="132"/>
      <c r="AT15" s="40">
        <v>185</v>
      </c>
      <c r="AU15" s="233"/>
      <c r="AV15" s="233"/>
      <c r="AW15" s="233"/>
    </row>
    <row r="16" spans="1:49" x14ac:dyDescent="0.25">
      <c r="A16" s="191" t="s">
        <v>572</v>
      </c>
      <c r="B16" s="132"/>
      <c r="C16" s="40">
        <v>14</v>
      </c>
      <c r="D16" s="40">
        <v>150</v>
      </c>
      <c r="E16" s="40">
        <v>1</v>
      </c>
      <c r="F16" s="40">
        <v>0</v>
      </c>
      <c r="G16" s="40">
        <v>0</v>
      </c>
      <c r="H16" s="132"/>
      <c r="I16" s="40">
        <v>15</v>
      </c>
      <c r="J16" s="40">
        <v>140</v>
      </c>
      <c r="K16" s="132"/>
      <c r="L16" s="40">
        <v>17</v>
      </c>
      <c r="M16" s="40">
        <v>13</v>
      </c>
      <c r="N16" s="40">
        <v>131</v>
      </c>
      <c r="O16" s="40">
        <v>123</v>
      </c>
      <c r="P16" s="132"/>
      <c r="Q16" s="40">
        <v>15</v>
      </c>
      <c r="R16" s="40">
        <v>130</v>
      </c>
      <c r="S16" s="132"/>
      <c r="T16" s="40">
        <v>21</v>
      </c>
      <c r="U16" s="40">
        <v>124</v>
      </c>
      <c r="V16" s="132"/>
      <c r="W16" s="40"/>
      <c r="X16" s="40"/>
      <c r="Y16" s="132"/>
      <c r="Z16" s="40"/>
      <c r="AA16" s="40">
        <v>129</v>
      </c>
      <c r="AB16" s="132"/>
      <c r="AC16" s="40"/>
      <c r="AD16" s="40">
        <v>129</v>
      </c>
      <c r="AE16" s="132"/>
      <c r="AF16" s="40">
        <v>61</v>
      </c>
      <c r="AG16" s="40">
        <v>57</v>
      </c>
      <c r="AH16" s="40">
        <v>43</v>
      </c>
      <c r="AI16" s="40">
        <v>30</v>
      </c>
      <c r="AJ16" s="40">
        <v>48</v>
      </c>
      <c r="AK16" s="132"/>
      <c r="AL16" s="40">
        <v>68</v>
      </c>
      <c r="AM16" s="132"/>
      <c r="AN16" s="40">
        <v>48</v>
      </c>
      <c r="AO16" s="40">
        <v>23</v>
      </c>
      <c r="AP16" s="132"/>
      <c r="AQ16" s="40">
        <v>33</v>
      </c>
      <c r="AR16" s="40">
        <v>23</v>
      </c>
      <c r="AS16" s="132"/>
      <c r="AT16" s="40">
        <v>171</v>
      </c>
      <c r="AU16" s="231">
        <v>98</v>
      </c>
      <c r="AV16" s="231">
        <v>470</v>
      </c>
      <c r="AW16" s="231">
        <f>8+54</f>
        <v>62</v>
      </c>
    </row>
    <row r="17" spans="1:49" x14ac:dyDescent="0.25">
      <c r="A17" s="191" t="s">
        <v>573</v>
      </c>
      <c r="B17" s="132"/>
      <c r="C17" s="40">
        <v>35</v>
      </c>
      <c r="D17" s="40">
        <v>178</v>
      </c>
      <c r="E17" s="40">
        <v>4</v>
      </c>
      <c r="F17" s="40">
        <v>0</v>
      </c>
      <c r="G17" s="40">
        <v>0</v>
      </c>
      <c r="H17" s="132"/>
      <c r="I17" s="40">
        <v>32</v>
      </c>
      <c r="J17" s="40">
        <v>175</v>
      </c>
      <c r="K17" s="132"/>
      <c r="L17" s="40">
        <v>34</v>
      </c>
      <c r="M17" s="40">
        <v>32</v>
      </c>
      <c r="N17" s="40">
        <v>165</v>
      </c>
      <c r="O17" s="40">
        <v>156</v>
      </c>
      <c r="P17" s="132"/>
      <c r="Q17" s="40">
        <v>27</v>
      </c>
      <c r="R17" s="40">
        <v>168</v>
      </c>
      <c r="S17" s="132"/>
      <c r="T17" s="40">
        <v>34</v>
      </c>
      <c r="U17" s="40">
        <v>163</v>
      </c>
      <c r="V17" s="132"/>
      <c r="W17" s="40"/>
      <c r="X17" s="40"/>
      <c r="Y17" s="132"/>
      <c r="Z17" s="40"/>
      <c r="AA17" s="40">
        <v>165</v>
      </c>
      <c r="AB17" s="132"/>
      <c r="AC17" s="40"/>
      <c r="AD17" s="40">
        <v>168</v>
      </c>
      <c r="AE17" s="132"/>
      <c r="AF17" s="40">
        <v>72</v>
      </c>
      <c r="AG17" s="40">
        <v>68</v>
      </c>
      <c r="AH17" s="40">
        <v>52</v>
      </c>
      <c r="AI17" s="40">
        <v>51</v>
      </c>
      <c r="AJ17" s="40">
        <v>75</v>
      </c>
      <c r="AK17" s="132"/>
      <c r="AL17" s="40">
        <v>109</v>
      </c>
      <c r="AM17" s="132"/>
      <c r="AN17" s="40">
        <v>72</v>
      </c>
      <c r="AO17" s="40">
        <v>53</v>
      </c>
      <c r="AP17" s="132"/>
      <c r="AQ17" s="40">
        <v>60</v>
      </c>
      <c r="AR17" s="40">
        <v>47</v>
      </c>
      <c r="AS17" s="132"/>
      <c r="AT17" s="40">
        <v>221</v>
      </c>
      <c r="AU17" s="232"/>
      <c r="AV17" s="232"/>
      <c r="AW17" s="232"/>
    </row>
    <row r="18" spans="1:49" x14ac:dyDescent="0.25">
      <c r="A18" s="191" t="s">
        <v>574</v>
      </c>
      <c r="B18" s="132"/>
      <c r="C18" s="40">
        <v>40</v>
      </c>
      <c r="D18" s="40">
        <v>201</v>
      </c>
      <c r="E18" s="40">
        <v>1</v>
      </c>
      <c r="F18" s="40">
        <v>0</v>
      </c>
      <c r="G18" s="40">
        <v>2</v>
      </c>
      <c r="H18" s="132"/>
      <c r="I18" s="40">
        <v>36</v>
      </c>
      <c r="J18" s="40">
        <v>193</v>
      </c>
      <c r="K18" s="132"/>
      <c r="L18" s="40">
        <v>39</v>
      </c>
      <c r="M18" s="40">
        <v>37</v>
      </c>
      <c r="N18" s="40">
        <v>190</v>
      </c>
      <c r="O18" s="40">
        <v>187</v>
      </c>
      <c r="P18" s="132"/>
      <c r="Q18" s="40">
        <v>39</v>
      </c>
      <c r="R18" s="40">
        <v>188</v>
      </c>
      <c r="S18" s="132"/>
      <c r="T18" s="40">
        <v>44</v>
      </c>
      <c r="U18" s="40">
        <v>183</v>
      </c>
      <c r="V18" s="132"/>
      <c r="W18" s="40"/>
      <c r="X18" s="40"/>
      <c r="Y18" s="132"/>
      <c r="Z18" s="40"/>
      <c r="AA18" s="40">
        <v>189</v>
      </c>
      <c r="AB18" s="132"/>
      <c r="AC18" s="40"/>
      <c r="AD18" s="40">
        <v>192</v>
      </c>
      <c r="AE18" s="132"/>
      <c r="AF18" s="40">
        <v>103</v>
      </c>
      <c r="AG18" s="40">
        <v>83</v>
      </c>
      <c r="AH18" s="40">
        <v>79</v>
      </c>
      <c r="AI18" s="40">
        <v>82</v>
      </c>
      <c r="AJ18" s="40">
        <v>90</v>
      </c>
      <c r="AK18" s="132"/>
      <c r="AL18" s="40">
        <v>151</v>
      </c>
      <c r="AM18" s="132"/>
      <c r="AN18" s="40">
        <v>90</v>
      </c>
      <c r="AO18" s="40">
        <v>75</v>
      </c>
      <c r="AP18" s="132"/>
      <c r="AQ18" s="40">
        <v>93</v>
      </c>
      <c r="AR18" s="40">
        <v>44</v>
      </c>
      <c r="AS18" s="132"/>
      <c r="AT18" s="40">
        <v>251</v>
      </c>
      <c r="AU18" s="232"/>
      <c r="AV18" s="232"/>
      <c r="AW18" s="232"/>
    </row>
    <row r="19" spans="1:49" x14ac:dyDescent="0.25">
      <c r="A19" s="191" t="s">
        <v>575</v>
      </c>
      <c r="B19" s="132"/>
      <c r="C19" s="40">
        <v>34</v>
      </c>
      <c r="D19" s="40">
        <v>166</v>
      </c>
      <c r="E19" s="40">
        <v>0</v>
      </c>
      <c r="F19" s="40">
        <v>2</v>
      </c>
      <c r="G19" s="40">
        <v>0</v>
      </c>
      <c r="H19" s="132"/>
      <c r="I19" s="40">
        <v>26</v>
      </c>
      <c r="J19" s="40">
        <v>166</v>
      </c>
      <c r="K19" s="132"/>
      <c r="L19" s="40">
        <v>30</v>
      </c>
      <c r="M19" s="40">
        <v>26</v>
      </c>
      <c r="N19" s="40">
        <v>156</v>
      </c>
      <c r="O19" s="40">
        <v>148</v>
      </c>
      <c r="P19" s="132"/>
      <c r="Q19" s="40">
        <v>29</v>
      </c>
      <c r="R19" s="40">
        <v>153</v>
      </c>
      <c r="S19" s="132"/>
      <c r="T19" s="40">
        <v>39</v>
      </c>
      <c r="U19" s="40">
        <v>149</v>
      </c>
      <c r="V19" s="132"/>
      <c r="W19" s="40"/>
      <c r="X19" s="40"/>
      <c r="Y19" s="132"/>
      <c r="Z19" s="40"/>
      <c r="AA19" s="40">
        <v>158</v>
      </c>
      <c r="AB19" s="132"/>
      <c r="AC19" s="40"/>
      <c r="AD19" s="40">
        <v>162</v>
      </c>
      <c r="AE19" s="132"/>
      <c r="AF19" s="40">
        <v>76</v>
      </c>
      <c r="AG19" s="40">
        <v>81</v>
      </c>
      <c r="AH19" s="40">
        <v>60</v>
      </c>
      <c r="AI19" s="40">
        <v>75</v>
      </c>
      <c r="AJ19" s="40">
        <v>79</v>
      </c>
      <c r="AK19" s="132"/>
      <c r="AL19" s="40">
        <v>115</v>
      </c>
      <c r="AM19" s="132"/>
      <c r="AN19" s="40">
        <v>74</v>
      </c>
      <c r="AO19" s="40">
        <v>53</v>
      </c>
      <c r="AP19" s="132"/>
      <c r="AQ19" s="40">
        <v>62</v>
      </c>
      <c r="AR19" s="40">
        <v>51</v>
      </c>
      <c r="AS19" s="132"/>
      <c r="AT19" s="40">
        <v>204</v>
      </c>
      <c r="AU19" s="233"/>
      <c r="AV19" s="233"/>
      <c r="AW19" s="233"/>
    </row>
    <row r="20" spans="1:49" ht="15.75" thickBot="1" x14ac:dyDescent="0.3"/>
    <row r="21" spans="1:49" ht="15.75" thickBot="1" x14ac:dyDescent="0.3">
      <c r="A21" s="50" t="s">
        <v>8</v>
      </c>
      <c r="B21" s="192"/>
      <c r="C21" s="51">
        <f>+SUM(C12:C19)</f>
        <v>320</v>
      </c>
      <c r="D21" s="51">
        <f t="shared" ref="D21:AR21" si="0">+SUM(D12:D19)</f>
        <v>1334</v>
      </c>
      <c r="E21" s="51">
        <f t="shared" si="0"/>
        <v>11</v>
      </c>
      <c r="F21" s="51">
        <f t="shared" ref="F21:U21" si="1">+SUM(F12:F19)</f>
        <v>2</v>
      </c>
      <c r="G21" s="51">
        <f t="shared" si="1"/>
        <v>3</v>
      </c>
      <c r="I21" s="51">
        <f t="shared" si="1"/>
        <v>303</v>
      </c>
      <c r="J21" s="51">
        <f t="shared" si="1"/>
        <v>1293</v>
      </c>
      <c r="L21" s="51">
        <f t="shared" si="1"/>
        <v>312</v>
      </c>
      <c r="M21" s="51">
        <f t="shared" si="1"/>
        <v>291</v>
      </c>
      <c r="N21" s="51">
        <f t="shared" si="1"/>
        <v>1256</v>
      </c>
      <c r="O21" s="51">
        <f t="shared" si="1"/>
        <v>1209</v>
      </c>
      <c r="Q21" s="51">
        <f t="shared" si="1"/>
        <v>297</v>
      </c>
      <c r="R21" s="51">
        <f t="shared" si="1"/>
        <v>1241</v>
      </c>
      <c r="T21" s="51">
        <f t="shared" si="1"/>
        <v>348</v>
      </c>
      <c r="U21" s="51">
        <f t="shared" si="1"/>
        <v>1203</v>
      </c>
      <c r="W21" s="51">
        <f t="shared" si="0"/>
        <v>0</v>
      </c>
      <c r="X21" s="51">
        <f t="shared" si="0"/>
        <v>652</v>
      </c>
      <c r="Z21" s="51">
        <f t="shared" si="0"/>
        <v>0</v>
      </c>
      <c r="AA21" s="51">
        <f t="shared" si="0"/>
        <v>641</v>
      </c>
      <c r="AC21" s="51">
        <f t="shared" si="0"/>
        <v>0</v>
      </c>
      <c r="AD21" s="51">
        <f t="shared" si="0"/>
        <v>651</v>
      </c>
      <c r="AF21" s="51">
        <f t="shared" si="0"/>
        <v>661</v>
      </c>
      <c r="AG21" s="51">
        <f t="shared" si="0"/>
        <v>632</v>
      </c>
      <c r="AH21" s="51">
        <f t="shared" si="0"/>
        <v>520</v>
      </c>
      <c r="AI21" s="51">
        <f t="shared" si="0"/>
        <v>452</v>
      </c>
      <c r="AJ21" s="51">
        <f t="shared" si="0"/>
        <v>557</v>
      </c>
      <c r="AL21" s="51">
        <f t="shared" si="0"/>
        <v>916</v>
      </c>
      <c r="AN21" s="51">
        <f t="shared" si="0"/>
        <v>586</v>
      </c>
      <c r="AO21" s="51">
        <f t="shared" si="0"/>
        <v>440</v>
      </c>
      <c r="AQ21" s="51">
        <f t="shared" si="0"/>
        <v>544</v>
      </c>
      <c r="AR21" s="51">
        <f t="shared" si="0"/>
        <v>321</v>
      </c>
      <c r="AT21" s="51">
        <f>+SUM(AT12:AT19)</f>
        <v>1710</v>
      </c>
      <c r="AU21" s="51">
        <f>+SUM(AU12:AU19)</f>
        <v>190</v>
      </c>
      <c r="AV21" s="51">
        <f>+SUM(AV12:AV19)</f>
        <v>911</v>
      </c>
      <c r="AW21" s="51">
        <f>+SUM(AW12:AW19)</f>
        <v>99</v>
      </c>
    </row>
    <row r="22" spans="1:49" x14ac:dyDescent="0.25">
      <c r="A22" s="92" t="s">
        <v>146</v>
      </c>
      <c r="B22" s="192"/>
      <c r="C22" s="53">
        <f>14+14</f>
        <v>28</v>
      </c>
      <c r="D22" s="53">
        <f>75+81</f>
        <v>156</v>
      </c>
      <c r="E22" s="53">
        <v>1</v>
      </c>
      <c r="F22" s="53">
        <v>0</v>
      </c>
      <c r="G22" s="53">
        <v>0</v>
      </c>
      <c r="I22" s="53">
        <f>15+11</f>
        <v>26</v>
      </c>
      <c r="J22" s="53">
        <f>76+82</f>
        <v>158</v>
      </c>
      <c r="L22" s="53">
        <f>18+13</f>
        <v>31</v>
      </c>
      <c r="M22" s="53">
        <f>18+16</f>
        <v>34</v>
      </c>
      <c r="N22" s="53">
        <f>69+79</f>
        <v>148</v>
      </c>
      <c r="O22" s="53">
        <f>71+77</f>
        <v>148</v>
      </c>
      <c r="Q22" s="53">
        <f>15+11</f>
        <v>26</v>
      </c>
      <c r="R22" s="53">
        <f>72+78</f>
        <v>150</v>
      </c>
      <c r="T22" s="53">
        <f>14+13</f>
        <v>27</v>
      </c>
      <c r="U22" s="53">
        <f>70+78</f>
        <v>148</v>
      </c>
      <c r="W22" s="53"/>
      <c r="X22" s="53">
        <v>70</v>
      </c>
      <c r="Z22" s="53"/>
      <c r="AA22" s="53">
        <v>80</v>
      </c>
      <c r="AC22" s="53"/>
      <c r="AD22" s="53">
        <v>82</v>
      </c>
      <c r="AF22" s="53">
        <f>36+32</f>
        <v>68</v>
      </c>
      <c r="AG22" s="53">
        <f>25+33</f>
        <v>58</v>
      </c>
      <c r="AH22" s="53">
        <f>24+33</f>
        <v>57</v>
      </c>
      <c r="AI22" s="53">
        <f>21+34</f>
        <v>55</v>
      </c>
      <c r="AJ22" s="53">
        <f>35+36</f>
        <v>71</v>
      </c>
      <c r="AL22" s="53">
        <f>37+47</f>
        <v>84</v>
      </c>
      <c r="AN22" s="53">
        <f>41+39</f>
        <v>80</v>
      </c>
      <c r="AO22" s="53">
        <f>36+39</f>
        <v>75</v>
      </c>
      <c r="AQ22" s="53">
        <f>48+53</f>
        <v>101</v>
      </c>
      <c r="AR22" s="53">
        <f>27+27</f>
        <v>54</v>
      </c>
      <c r="AT22" s="93"/>
      <c r="AU22" s="93"/>
      <c r="AV22" s="93"/>
      <c r="AW22" s="93"/>
    </row>
    <row r="23" spans="1:49" x14ac:dyDescent="0.25">
      <c r="A23" s="92" t="s">
        <v>43</v>
      </c>
      <c r="B23" s="192"/>
      <c r="C23" s="41">
        <v>322</v>
      </c>
      <c r="D23" s="41">
        <v>509</v>
      </c>
      <c r="E23" s="41">
        <v>6</v>
      </c>
      <c r="F23" s="41">
        <v>0</v>
      </c>
      <c r="G23" s="41">
        <v>2</v>
      </c>
      <c r="I23" s="41">
        <v>348</v>
      </c>
      <c r="J23" s="41">
        <v>517</v>
      </c>
      <c r="L23" s="41">
        <v>367</v>
      </c>
      <c r="M23" s="41">
        <v>361</v>
      </c>
      <c r="N23" s="41">
        <v>492</v>
      </c>
      <c r="O23" s="41">
        <v>484</v>
      </c>
      <c r="Q23" s="41">
        <v>308</v>
      </c>
      <c r="R23" s="41">
        <v>542</v>
      </c>
      <c r="T23" s="41">
        <v>375</v>
      </c>
      <c r="U23" s="41">
        <v>480</v>
      </c>
      <c r="W23" s="41"/>
      <c r="X23" s="41">
        <v>351</v>
      </c>
      <c r="Z23" s="41"/>
      <c r="AA23" s="41">
        <v>371</v>
      </c>
      <c r="AC23" s="41"/>
      <c r="AD23" s="41">
        <v>310</v>
      </c>
      <c r="AF23" s="41">
        <v>441</v>
      </c>
      <c r="AG23" s="41">
        <v>148</v>
      </c>
      <c r="AH23" s="41">
        <v>439</v>
      </c>
      <c r="AI23" s="41">
        <v>144</v>
      </c>
      <c r="AJ23" s="41">
        <v>509</v>
      </c>
      <c r="AL23" s="41">
        <v>370</v>
      </c>
      <c r="AN23" s="41">
        <v>224</v>
      </c>
      <c r="AO23" s="41">
        <v>276</v>
      </c>
      <c r="AQ23" s="41">
        <v>299</v>
      </c>
      <c r="AR23" s="41">
        <v>180</v>
      </c>
      <c r="AT23" s="93"/>
      <c r="AU23" s="93"/>
      <c r="AV23" s="93"/>
      <c r="AW23" s="93"/>
    </row>
    <row r="24" spans="1:49" x14ac:dyDescent="0.25">
      <c r="A24" s="94" t="s">
        <v>644</v>
      </c>
      <c r="B24" s="192"/>
      <c r="C24" s="95">
        <v>1</v>
      </c>
      <c r="D24" s="95">
        <v>9</v>
      </c>
      <c r="E24" s="95">
        <v>0</v>
      </c>
      <c r="F24" s="95">
        <v>0</v>
      </c>
      <c r="G24" s="95">
        <v>0</v>
      </c>
      <c r="H24" s="213" t="s">
        <v>258</v>
      </c>
      <c r="I24" s="95">
        <v>2</v>
      </c>
      <c r="J24" s="95">
        <v>8</v>
      </c>
      <c r="L24" s="95">
        <v>2</v>
      </c>
      <c r="M24" s="95">
        <v>2</v>
      </c>
      <c r="N24" s="95">
        <v>7</v>
      </c>
      <c r="O24" s="95">
        <v>7</v>
      </c>
      <c r="Q24" s="95">
        <v>1</v>
      </c>
      <c r="R24" s="95">
        <v>7</v>
      </c>
      <c r="T24" s="95">
        <v>1</v>
      </c>
      <c r="U24" s="95">
        <v>6</v>
      </c>
      <c r="W24" s="95"/>
      <c r="X24" s="95">
        <v>4</v>
      </c>
      <c r="Z24" s="95"/>
      <c r="AA24" s="95">
        <v>3</v>
      </c>
      <c r="AC24" s="95"/>
      <c r="AD24" s="95">
        <v>3</v>
      </c>
      <c r="AF24" s="95">
        <v>5</v>
      </c>
      <c r="AG24" s="95">
        <v>3</v>
      </c>
      <c r="AH24" s="95">
        <v>4</v>
      </c>
      <c r="AI24" s="95">
        <v>2</v>
      </c>
      <c r="AJ24" s="95">
        <v>4</v>
      </c>
      <c r="AL24" s="95">
        <v>3</v>
      </c>
      <c r="AN24" s="95">
        <v>4</v>
      </c>
      <c r="AO24" s="95">
        <v>5</v>
      </c>
      <c r="AQ24" s="95">
        <v>6</v>
      </c>
      <c r="AR24" s="95">
        <v>2</v>
      </c>
      <c r="AT24" s="93"/>
      <c r="AU24" s="93"/>
      <c r="AV24" s="93"/>
      <c r="AW24" s="93"/>
    </row>
    <row r="25" spans="1:49" x14ac:dyDescent="0.25">
      <c r="A25" s="94" t="s">
        <v>645</v>
      </c>
      <c r="B25" s="192"/>
      <c r="C25" s="95">
        <v>11</v>
      </c>
      <c r="D25" s="95">
        <v>71</v>
      </c>
      <c r="E25" s="95">
        <v>0</v>
      </c>
      <c r="F25" s="95">
        <v>0</v>
      </c>
      <c r="G25" s="95">
        <v>0</v>
      </c>
      <c r="I25" s="95">
        <v>10</v>
      </c>
      <c r="J25" s="95">
        <v>71</v>
      </c>
      <c r="L25" s="95">
        <v>16</v>
      </c>
      <c r="M25" s="95">
        <v>11</v>
      </c>
      <c r="N25" s="95">
        <v>64</v>
      </c>
      <c r="O25" s="95">
        <v>65</v>
      </c>
      <c r="Q25" s="95">
        <v>10</v>
      </c>
      <c r="R25" s="95">
        <v>69</v>
      </c>
      <c r="T25" s="95">
        <v>11</v>
      </c>
      <c r="U25" s="95">
        <v>69</v>
      </c>
      <c r="W25" s="95"/>
      <c r="X25" s="95">
        <v>24</v>
      </c>
      <c r="Z25" s="95"/>
      <c r="AA25" s="95">
        <v>46</v>
      </c>
      <c r="AC25" s="95"/>
      <c r="AD25" s="95">
        <v>46</v>
      </c>
      <c r="AF25" s="95">
        <v>27</v>
      </c>
      <c r="AG25" s="95">
        <v>18</v>
      </c>
      <c r="AH25" s="95">
        <v>17</v>
      </c>
      <c r="AI25" s="95">
        <v>25</v>
      </c>
      <c r="AJ25" s="95">
        <v>23</v>
      </c>
      <c r="AL25" s="95">
        <v>45</v>
      </c>
      <c r="AN25" s="95">
        <v>26</v>
      </c>
      <c r="AO25" s="95">
        <v>15</v>
      </c>
      <c r="AQ25" s="95">
        <v>25</v>
      </c>
      <c r="AR25" s="95">
        <v>14</v>
      </c>
      <c r="AT25" s="93"/>
      <c r="AU25" s="93"/>
      <c r="AV25" s="93"/>
      <c r="AW25" s="93"/>
    </row>
    <row r="26" spans="1:49" ht="15.75" thickBot="1" x14ac:dyDescent="0.3">
      <c r="A26" s="94" t="s">
        <v>651</v>
      </c>
      <c r="B26" s="192"/>
      <c r="C26" s="95">
        <v>0</v>
      </c>
      <c r="D26" s="95">
        <f>13+1</f>
        <v>14</v>
      </c>
      <c r="E26" s="95">
        <v>0</v>
      </c>
      <c r="F26" s="95">
        <v>0</v>
      </c>
      <c r="G26" s="95">
        <f>1</f>
        <v>1</v>
      </c>
      <c r="I26" s="95">
        <f>1+0</f>
        <v>1</v>
      </c>
      <c r="J26" s="95">
        <f>14+1</f>
        <v>15</v>
      </c>
      <c r="L26" s="95">
        <f>1</f>
        <v>1</v>
      </c>
      <c r="M26" s="95">
        <f>1</f>
        <v>1</v>
      </c>
      <c r="N26" s="95">
        <f>13+1</f>
        <v>14</v>
      </c>
      <c r="O26" s="95">
        <f>13+1</f>
        <v>14</v>
      </c>
      <c r="Q26" s="95">
        <f>1</f>
        <v>1</v>
      </c>
      <c r="R26" s="95">
        <f>13+1</f>
        <v>14</v>
      </c>
      <c r="T26" s="95">
        <f>1</f>
        <v>1</v>
      </c>
      <c r="U26" s="95">
        <f>13+1</f>
        <v>14</v>
      </c>
      <c r="W26" s="95"/>
      <c r="X26" s="95">
        <f>0</f>
        <v>0</v>
      </c>
      <c r="Z26" s="95"/>
      <c r="AA26" s="95">
        <f>14</f>
        <v>14</v>
      </c>
      <c r="AC26" s="95"/>
      <c r="AD26" s="95">
        <f>13</f>
        <v>13</v>
      </c>
      <c r="AF26" s="95">
        <f>4+1</f>
        <v>5</v>
      </c>
      <c r="AG26" s="95">
        <f>3</f>
        <v>3</v>
      </c>
      <c r="AH26" s="95">
        <f>3</f>
        <v>3</v>
      </c>
      <c r="AI26" s="95">
        <f>3+1</f>
        <v>4</v>
      </c>
      <c r="AJ26" s="95">
        <f>3+1</f>
        <v>4</v>
      </c>
      <c r="AL26" s="95">
        <f>7+1</f>
        <v>8</v>
      </c>
      <c r="AN26" s="95">
        <f>0</f>
        <v>0</v>
      </c>
      <c r="AO26" s="95">
        <f>2+1</f>
        <v>3</v>
      </c>
      <c r="AQ26" s="95">
        <f>1+0</f>
        <v>1</v>
      </c>
      <c r="AR26" s="95">
        <f>1+1</f>
        <v>2</v>
      </c>
      <c r="AT26" s="93"/>
      <c r="AU26" s="93"/>
      <c r="AV26" s="93"/>
      <c r="AW26" s="93"/>
    </row>
    <row r="27" spans="1:49" ht="15.75" thickBot="1" x14ac:dyDescent="0.3">
      <c r="A27" s="50" t="s">
        <v>45</v>
      </c>
      <c r="B27" s="192"/>
      <c r="C27" s="51">
        <f>+SUM(C21:C26)</f>
        <v>682</v>
      </c>
      <c r="D27" s="51">
        <f t="shared" ref="D27:G27" si="2">+SUM(D21:D26)</f>
        <v>2093</v>
      </c>
      <c r="E27" s="51">
        <f t="shared" si="2"/>
        <v>18</v>
      </c>
      <c r="F27" s="51">
        <f t="shared" si="2"/>
        <v>2</v>
      </c>
      <c r="G27" s="51">
        <f t="shared" si="2"/>
        <v>6</v>
      </c>
      <c r="I27" s="51">
        <f t="shared" ref="I27:J27" si="3">+SUM(I21:I26)</f>
        <v>690</v>
      </c>
      <c r="J27" s="51">
        <f t="shared" si="3"/>
        <v>2062</v>
      </c>
      <c r="L27" s="51">
        <f t="shared" ref="L27" si="4">+SUM(L21:L26)</f>
        <v>729</v>
      </c>
      <c r="M27" s="51">
        <f t="shared" ref="M27" si="5">+SUM(M21:M26)</f>
        <v>700</v>
      </c>
      <c r="N27" s="51">
        <f t="shared" ref="N27" si="6">+SUM(N21:N26)</f>
        <v>1981</v>
      </c>
      <c r="O27" s="51">
        <f t="shared" ref="O27" si="7">+SUM(O21:O26)</f>
        <v>1927</v>
      </c>
      <c r="Q27" s="51">
        <f t="shared" ref="Q27" si="8">+SUM(Q21:Q26)</f>
        <v>643</v>
      </c>
      <c r="R27" s="51">
        <f t="shared" ref="R27" si="9">+SUM(R21:R26)</f>
        <v>2023</v>
      </c>
      <c r="T27" s="51">
        <f t="shared" ref="T27" si="10">+SUM(T21:T26)</f>
        <v>763</v>
      </c>
      <c r="U27" s="51">
        <f t="shared" ref="U27" si="11">+SUM(U21:U26)</f>
        <v>1920</v>
      </c>
      <c r="W27" s="51">
        <f t="shared" ref="W27" si="12">+SUM(W21:W26)</f>
        <v>0</v>
      </c>
      <c r="X27" s="51">
        <f t="shared" ref="X27" si="13">+SUM(X21:X26)</f>
        <v>1101</v>
      </c>
      <c r="Z27" s="51">
        <f t="shared" ref="Z27" si="14">+SUM(Z21:Z26)</f>
        <v>0</v>
      </c>
      <c r="AA27" s="51">
        <f t="shared" ref="AA27" si="15">+SUM(AA21:AA26)</f>
        <v>1155</v>
      </c>
      <c r="AC27" s="51">
        <f t="shared" ref="AC27" si="16">+SUM(AC21:AC26)</f>
        <v>0</v>
      </c>
      <c r="AD27" s="51">
        <f t="shared" ref="AD27" si="17">+SUM(AD21:AD26)</f>
        <v>1105</v>
      </c>
      <c r="AF27" s="51">
        <f t="shared" ref="AF27" si="18">+SUM(AF21:AF26)</f>
        <v>1207</v>
      </c>
      <c r="AG27" s="51">
        <f t="shared" ref="AG27" si="19">+SUM(AG21:AG26)</f>
        <v>862</v>
      </c>
      <c r="AH27" s="51">
        <f t="shared" ref="AH27" si="20">+SUM(AH21:AH26)</f>
        <v>1040</v>
      </c>
      <c r="AI27" s="51">
        <f t="shared" ref="AI27" si="21">+SUM(AI21:AI26)</f>
        <v>682</v>
      </c>
      <c r="AJ27" s="51">
        <f t="shared" ref="AJ27" si="22">+SUM(AJ21:AJ26)</f>
        <v>1168</v>
      </c>
      <c r="AL27" s="51">
        <f t="shared" ref="AL27" si="23">+SUM(AL21:AL26)</f>
        <v>1426</v>
      </c>
      <c r="AN27" s="51">
        <f t="shared" ref="AN27" si="24">+SUM(AN21:AN26)</f>
        <v>920</v>
      </c>
      <c r="AO27" s="51">
        <f t="shared" ref="AO27" si="25">+SUM(AO21:AO26)</f>
        <v>814</v>
      </c>
      <c r="AQ27" s="51">
        <f t="shared" ref="AQ27" si="26">+SUM(AQ21:AQ26)</f>
        <v>976</v>
      </c>
      <c r="AR27" s="51">
        <f t="shared" ref="AR27" si="27">+SUM(AR21:AR26)</f>
        <v>573</v>
      </c>
      <c r="AT27" s="96"/>
      <c r="AU27" s="96"/>
      <c r="AV27" s="96"/>
      <c r="AW27" s="96"/>
    </row>
  </sheetData>
  <mergeCells count="28">
    <mergeCell ref="W4:X4"/>
    <mergeCell ref="W3:X3"/>
    <mergeCell ref="Z3:AA3"/>
    <mergeCell ref="Q4:R4"/>
    <mergeCell ref="T4:U4"/>
    <mergeCell ref="Z4:AA4"/>
    <mergeCell ref="C3:G3"/>
    <mergeCell ref="I3:O3"/>
    <mergeCell ref="C4:G4"/>
    <mergeCell ref="I4:J4"/>
    <mergeCell ref="L4:O4"/>
    <mergeCell ref="AV16:AV19"/>
    <mergeCell ref="AV12:AV15"/>
    <mergeCell ref="AU16:AU19"/>
    <mergeCell ref="AU12:AU15"/>
    <mergeCell ref="AT3:AW4"/>
    <mergeCell ref="AW16:AW19"/>
    <mergeCell ref="AW12:AW15"/>
    <mergeCell ref="AC3:AD3"/>
    <mergeCell ref="AC4:AD4"/>
    <mergeCell ref="AF4:AJ4"/>
    <mergeCell ref="AC2:AD2"/>
    <mergeCell ref="AN4:AO4"/>
    <mergeCell ref="AQ4:AR4"/>
    <mergeCell ref="AN7:AN9"/>
    <mergeCell ref="AO7:AO9"/>
    <mergeCell ref="AQ7:AQ9"/>
    <mergeCell ref="AR7:AR9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20"/>
  <sheetViews>
    <sheetView zoomScale="75" zoomScaleNormal="75" workbookViewId="0">
      <pane xSplit="1" topLeftCell="B1" activePane="topRight" state="frozen"/>
      <selection pane="topRight"/>
    </sheetView>
  </sheetViews>
  <sheetFormatPr defaultRowHeight="15" x14ac:dyDescent="0.25"/>
  <cols>
    <col min="1" max="1" width="22.7109375" style="191" customWidth="1"/>
    <col min="2" max="2" width="1.5703125" style="191" customWidth="1"/>
    <col min="3" max="6" width="14" style="191" customWidth="1"/>
    <col min="7" max="7" width="15" style="191" customWidth="1"/>
    <col min="8" max="8" width="1.7109375" style="191" customWidth="1"/>
    <col min="9" max="10" width="14" style="191" customWidth="1"/>
    <col min="11" max="11" width="15" style="191" customWidth="1"/>
    <col min="12" max="12" width="1.7109375" style="191" customWidth="1"/>
    <col min="13" max="16" width="14" style="191" customWidth="1"/>
    <col min="17" max="17" width="1.7109375" style="191" customWidth="1"/>
    <col min="18" max="19" width="14" style="191" customWidth="1"/>
    <col min="20" max="20" width="1.7109375" style="191" customWidth="1"/>
    <col min="21" max="22" width="14" style="191" customWidth="1"/>
    <col min="23" max="23" width="1.7109375" style="191" customWidth="1"/>
    <col min="24" max="25" width="14" style="191" customWidth="1"/>
    <col min="26" max="26" width="1.7109375" style="191" customWidth="1"/>
    <col min="27" max="28" width="14" style="191" customWidth="1"/>
    <col min="29" max="29" width="1.7109375" style="191" customWidth="1"/>
    <col min="30" max="31" width="14" style="191" customWidth="1"/>
    <col min="32" max="32" width="1.7109375" style="191" customWidth="1"/>
    <col min="33" max="34" width="9.7109375" style="191" customWidth="1"/>
    <col min="35" max="35" width="1.7109375" style="191" customWidth="1"/>
    <col min="36" max="37" width="9.7109375" style="191" customWidth="1"/>
    <col min="38" max="38" width="1.7109375" style="191" customWidth="1"/>
    <col min="39" max="40" width="10.7109375" style="191" customWidth="1"/>
    <col min="41" max="41" width="1.7109375" style="191" customWidth="1"/>
    <col min="42" max="42" width="11.85546875" style="191" customWidth="1"/>
    <col min="43" max="44" width="9.5703125" style="191" customWidth="1"/>
    <col min="45" max="45" width="13.42578125" style="191" customWidth="1"/>
    <col min="46" max="16384" width="9.140625" style="191"/>
  </cols>
  <sheetData>
    <row r="2" spans="1:45" x14ac:dyDescent="0.25">
      <c r="C2" s="224"/>
      <c r="D2" s="225"/>
      <c r="E2" s="225"/>
      <c r="F2" s="225"/>
      <c r="G2" s="226"/>
      <c r="I2" s="224" t="s">
        <v>4</v>
      </c>
      <c r="J2" s="225"/>
      <c r="K2" s="225"/>
      <c r="L2" s="225"/>
      <c r="M2" s="225"/>
      <c r="N2" s="225"/>
      <c r="O2" s="225"/>
      <c r="P2" s="226"/>
      <c r="R2" s="80"/>
      <c r="S2" s="81"/>
      <c r="U2" s="80"/>
      <c r="V2" s="81"/>
      <c r="X2" s="224"/>
      <c r="Y2" s="226"/>
      <c r="AA2" s="224" t="s">
        <v>147</v>
      </c>
      <c r="AB2" s="226"/>
      <c r="AD2" s="224" t="s">
        <v>147</v>
      </c>
      <c r="AE2" s="226"/>
      <c r="AG2" s="80"/>
      <c r="AH2" s="81"/>
      <c r="AJ2" s="80"/>
      <c r="AK2" s="81"/>
      <c r="AM2" s="80"/>
      <c r="AN2" s="81"/>
      <c r="AP2" s="234" t="s">
        <v>5</v>
      </c>
      <c r="AQ2" s="235"/>
      <c r="AR2" s="235"/>
      <c r="AS2" s="236"/>
    </row>
    <row r="3" spans="1:45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227"/>
      <c r="L3" s="140"/>
      <c r="M3" s="227" t="s">
        <v>0</v>
      </c>
      <c r="N3" s="227"/>
      <c r="O3" s="227"/>
      <c r="P3" s="223"/>
      <c r="R3" s="222" t="s">
        <v>121</v>
      </c>
      <c r="S3" s="223"/>
      <c r="U3" s="222" t="s">
        <v>122</v>
      </c>
      <c r="V3" s="223"/>
      <c r="X3" s="222" t="s">
        <v>226</v>
      </c>
      <c r="Y3" s="223"/>
      <c r="AA3" s="222" t="s">
        <v>149</v>
      </c>
      <c r="AB3" s="223"/>
      <c r="AD3" s="222" t="s">
        <v>150</v>
      </c>
      <c r="AE3" s="223"/>
      <c r="AG3" s="222" t="s">
        <v>126</v>
      </c>
      <c r="AH3" s="223"/>
      <c r="AJ3" s="222" t="s">
        <v>127</v>
      </c>
      <c r="AK3" s="223"/>
      <c r="AM3" s="222" t="s">
        <v>541</v>
      </c>
      <c r="AN3" s="223"/>
      <c r="AP3" s="219"/>
      <c r="AQ3" s="220"/>
      <c r="AR3" s="220"/>
      <c r="AS3" s="221"/>
    </row>
    <row r="4" spans="1:45" ht="5.0999999999999996" customHeight="1" thickBot="1" x14ac:dyDescent="0.3">
      <c r="C4" s="115"/>
      <c r="D4" s="117"/>
      <c r="E4" s="117"/>
      <c r="F4" s="117"/>
      <c r="G4" s="116"/>
      <c r="I4" s="75"/>
      <c r="J4" s="73"/>
      <c r="K4" s="64"/>
      <c r="L4" s="140"/>
      <c r="M4" s="64"/>
      <c r="N4" s="64"/>
      <c r="O4" s="64"/>
      <c r="P4" s="79"/>
      <c r="R4" s="114"/>
      <c r="S4" s="79"/>
      <c r="U4" s="114"/>
      <c r="V4" s="79"/>
      <c r="X4" s="99"/>
      <c r="Y4" s="69"/>
      <c r="AA4" s="99"/>
      <c r="AB4" s="69"/>
      <c r="AD4" s="99"/>
      <c r="AE4" s="69"/>
      <c r="AG4" s="75"/>
      <c r="AH4" s="74"/>
      <c r="AJ4" s="75"/>
      <c r="AK4" s="74"/>
      <c r="AM4" s="75"/>
      <c r="AN4" s="74"/>
      <c r="AP4" s="204"/>
      <c r="AQ4" s="205"/>
      <c r="AR4" s="205"/>
      <c r="AS4" s="206"/>
    </row>
    <row r="5" spans="1:45" x14ac:dyDescent="0.25">
      <c r="C5" s="5"/>
      <c r="D5" s="8"/>
      <c r="E5" s="8"/>
      <c r="F5" s="8"/>
      <c r="G5" s="6"/>
      <c r="I5" s="130"/>
      <c r="J5" s="153"/>
      <c r="K5" s="131"/>
      <c r="M5" s="130"/>
      <c r="N5" s="153"/>
      <c r="O5" s="153"/>
      <c r="P5" s="131"/>
      <c r="R5" s="130"/>
      <c r="S5" s="131"/>
      <c r="U5" s="130"/>
      <c r="V5" s="131"/>
      <c r="X5" s="130"/>
      <c r="Y5" s="131"/>
      <c r="AA5" s="130"/>
      <c r="AB5" s="131"/>
      <c r="AD5" s="130"/>
      <c r="AE5" s="131"/>
      <c r="AG5" s="10"/>
      <c r="AH5" s="12"/>
      <c r="AJ5" s="10"/>
      <c r="AK5" s="12"/>
      <c r="AM5" s="10"/>
      <c r="AN5" s="12"/>
      <c r="AP5" s="157"/>
      <c r="AQ5" s="158"/>
      <c r="AR5" s="158"/>
      <c r="AS5" s="159"/>
    </row>
    <row r="6" spans="1:45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133" t="str">
        <f>+'Lead Sheet'!AI6</f>
        <v>Christopher J.</v>
      </c>
      <c r="J6" s="135" t="str">
        <f>+'Lead Sheet'!AJ6</f>
        <v>David T.</v>
      </c>
      <c r="K6" s="134" t="str">
        <f>+'Lead Sheet'!AK6</f>
        <v>Regina C.</v>
      </c>
      <c r="M6" s="133" t="str">
        <f>+'Lead Sheet'!AM6</f>
        <v>Brian E.</v>
      </c>
      <c r="N6" s="135" t="str">
        <f>+'Lead Sheet'!AN6</f>
        <v>Dianne C.</v>
      </c>
      <c r="O6" s="135" t="str">
        <f>+'Lead Sheet'!AO6</f>
        <v>Alexis</v>
      </c>
      <c r="P6" s="134" t="str">
        <f>+'Lead Sheet'!AP6</f>
        <v>Kristen</v>
      </c>
      <c r="R6" s="133" t="str">
        <f>+'Lead Sheet'!AR6</f>
        <v>Joseph J.</v>
      </c>
      <c r="S6" s="134" t="str">
        <f>+'Lead Sheet'!AS6</f>
        <v>Lisa</v>
      </c>
      <c r="U6" s="133" t="str">
        <f>+'Lead Sheet'!AU6</f>
        <v>Frank X.</v>
      </c>
      <c r="V6" s="134" t="str">
        <f>+'Lead Sheet'!AV6</f>
        <v>Celeste</v>
      </c>
      <c r="X6" s="133" t="s">
        <v>596</v>
      </c>
      <c r="Y6" s="134" t="s">
        <v>183</v>
      </c>
      <c r="AA6" s="133" t="s">
        <v>509</v>
      </c>
      <c r="AB6" s="134" t="s">
        <v>183</v>
      </c>
      <c r="AD6" s="133" t="s">
        <v>599</v>
      </c>
      <c r="AE6" s="134" t="s">
        <v>183</v>
      </c>
      <c r="AG6" s="229" t="s">
        <v>9</v>
      </c>
      <c r="AH6" s="230" t="s">
        <v>10</v>
      </c>
      <c r="AJ6" s="229" t="s">
        <v>9</v>
      </c>
      <c r="AK6" s="230" t="s">
        <v>10</v>
      </c>
      <c r="AM6" s="229" t="s">
        <v>9</v>
      </c>
      <c r="AN6" s="230" t="s">
        <v>10</v>
      </c>
      <c r="AP6" s="160" t="s">
        <v>8</v>
      </c>
      <c r="AQ6" s="161" t="s">
        <v>8</v>
      </c>
      <c r="AR6" s="161" t="s">
        <v>8</v>
      </c>
      <c r="AS6" s="162" t="s">
        <v>8</v>
      </c>
    </row>
    <row r="7" spans="1:45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133" t="str">
        <f>+'Lead Sheet'!AI7</f>
        <v>CONNORS</v>
      </c>
      <c r="J7" s="135" t="str">
        <f>+'Lead Sheet'!AJ7</f>
        <v>WRIGHT</v>
      </c>
      <c r="K7" s="134" t="str">
        <f>+'Lead Sheet'!AK7</f>
        <v>DISCENZA</v>
      </c>
      <c r="M7" s="133" t="str">
        <f>+'Lead Sheet'!AM7</f>
        <v>RUMPF</v>
      </c>
      <c r="N7" s="135" t="str">
        <f>+'Lead Sheet'!AN7</f>
        <v>GOVE</v>
      </c>
      <c r="O7" s="135" t="str">
        <f>+'Lead Sheet'!AO7</f>
        <v>JACKSON</v>
      </c>
      <c r="P7" s="134" t="str">
        <f>+'Lead Sheet'!AP7</f>
        <v>HENNINGER</v>
      </c>
      <c r="R7" s="133" t="str">
        <f>+'Lead Sheet'!AR7</f>
        <v>GIRALO</v>
      </c>
      <c r="S7" s="134" t="str">
        <f>+'Lead Sheet'!AS7</f>
        <v>JIAMPETTI</v>
      </c>
      <c r="U7" s="133" t="str">
        <f>+'Lead Sheet'!AU7</f>
        <v>BALLES</v>
      </c>
      <c r="V7" s="134" t="str">
        <f>+'Lead Sheet'!AV7</f>
        <v>FERNANDEZ</v>
      </c>
      <c r="X7" s="133" t="s">
        <v>597</v>
      </c>
      <c r="Y7" s="134" t="s">
        <v>159</v>
      </c>
      <c r="AA7" s="133" t="s">
        <v>598</v>
      </c>
      <c r="AB7" s="134" t="s">
        <v>159</v>
      </c>
      <c r="AD7" s="133" t="s">
        <v>600</v>
      </c>
      <c r="AE7" s="134" t="s">
        <v>159</v>
      </c>
      <c r="AG7" s="229"/>
      <c r="AH7" s="230"/>
      <c r="AJ7" s="229"/>
      <c r="AK7" s="230"/>
      <c r="AM7" s="229"/>
      <c r="AN7" s="230"/>
      <c r="AP7" s="160" t="s">
        <v>12</v>
      </c>
      <c r="AQ7" s="161" t="s">
        <v>144</v>
      </c>
      <c r="AR7" s="161" t="s">
        <v>13</v>
      </c>
      <c r="AS7" s="162" t="s">
        <v>14</v>
      </c>
    </row>
    <row r="8" spans="1:45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133" t="str">
        <f>+'Lead Sheet'!AI8</f>
        <v>Republican</v>
      </c>
      <c r="J8" s="135" t="str">
        <f>+'Lead Sheet'!AJ8</f>
        <v>Democrat</v>
      </c>
      <c r="K8" s="134" t="str">
        <f>+'Lead Sheet'!AK8</f>
        <v>Unaffiliated Best</v>
      </c>
      <c r="M8" s="133" t="str">
        <f>+'Lead Sheet'!AM8</f>
        <v>Republican</v>
      </c>
      <c r="N8" s="135" t="str">
        <f>+'Lead Sheet'!AN8</f>
        <v>Republican</v>
      </c>
      <c r="O8" s="135" t="str">
        <f>+'Lead Sheet'!AO8</f>
        <v>Democrat</v>
      </c>
      <c r="P8" s="134" t="str">
        <f>+'Lead Sheet'!AP8</f>
        <v>HOLLAND</v>
      </c>
      <c r="R8" s="133" t="str">
        <f>+'Lead Sheet'!AR8</f>
        <v>Republican</v>
      </c>
      <c r="S8" s="134" t="str">
        <f>+'Lead Sheet'!AS8</f>
        <v>Democrat</v>
      </c>
      <c r="U8" s="133" t="str">
        <f>+'Lead Sheet'!AU8</f>
        <v>Republican</v>
      </c>
      <c r="V8" s="134" t="str">
        <f>+'Lead Sheet'!AV8</f>
        <v>Democrat</v>
      </c>
      <c r="X8" s="133" t="s">
        <v>16</v>
      </c>
      <c r="Y8" s="134" t="s">
        <v>59</v>
      </c>
      <c r="AA8" s="133" t="s">
        <v>16</v>
      </c>
      <c r="AB8" s="134" t="s">
        <v>59</v>
      </c>
      <c r="AD8" s="133" t="s">
        <v>16</v>
      </c>
      <c r="AE8" s="134" t="s">
        <v>59</v>
      </c>
      <c r="AG8" s="229"/>
      <c r="AH8" s="230"/>
      <c r="AJ8" s="229"/>
      <c r="AK8" s="230"/>
      <c r="AM8" s="229"/>
      <c r="AN8" s="230"/>
      <c r="AP8" s="160" t="s">
        <v>18</v>
      </c>
      <c r="AQ8" s="161" t="s">
        <v>145</v>
      </c>
      <c r="AR8" s="161" t="s">
        <v>19</v>
      </c>
      <c r="AS8" s="162" t="s">
        <v>18</v>
      </c>
    </row>
    <row r="9" spans="1:45" x14ac:dyDescent="0.25">
      <c r="C9" s="60"/>
      <c r="D9" s="31"/>
      <c r="E9" s="31"/>
      <c r="F9" s="31"/>
      <c r="G9" s="61" t="str">
        <f>+'Lead Sheet'!G9</f>
        <v>Party</v>
      </c>
      <c r="I9" s="143"/>
      <c r="J9" s="132"/>
      <c r="K9" s="144"/>
      <c r="M9" s="143"/>
      <c r="N9" s="132"/>
      <c r="O9" s="132"/>
      <c r="P9" s="144"/>
      <c r="R9" s="143"/>
      <c r="S9" s="144"/>
      <c r="U9" s="143"/>
      <c r="V9" s="144"/>
      <c r="X9" s="143"/>
      <c r="Y9" s="144"/>
      <c r="AA9" s="143"/>
      <c r="AB9" s="144"/>
      <c r="AD9" s="143"/>
      <c r="AE9" s="144"/>
      <c r="AG9" s="27"/>
      <c r="AH9" s="28"/>
      <c r="AJ9" s="27"/>
      <c r="AK9" s="28"/>
      <c r="AM9" s="27"/>
      <c r="AN9" s="28"/>
      <c r="AP9" s="164"/>
      <c r="AQ9" s="163"/>
      <c r="AR9" s="163"/>
      <c r="AS9" s="165"/>
    </row>
    <row r="10" spans="1:45" ht="5.0999999999999996" customHeight="1" thickBot="1" x14ac:dyDescent="0.3">
      <c r="C10" s="29"/>
      <c r="D10" s="32"/>
      <c r="E10" s="32"/>
      <c r="F10" s="32"/>
      <c r="G10" s="30"/>
      <c r="I10" s="136"/>
      <c r="J10" s="152"/>
      <c r="K10" s="137"/>
      <c r="M10" s="136"/>
      <c r="N10" s="152"/>
      <c r="O10" s="152"/>
      <c r="P10" s="137"/>
      <c r="R10" s="136"/>
      <c r="S10" s="137"/>
      <c r="U10" s="136"/>
      <c r="V10" s="137"/>
      <c r="X10" s="136"/>
      <c r="Y10" s="137"/>
      <c r="AA10" s="136"/>
      <c r="AB10" s="137"/>
      <c r="AD10" s="136"/>
      <c r="AE10" s="137"/>
      <c r="AG10" s="36"/>
      <c r="AH10" s="38"/>
      <c r="AJ10" s="36"/>
      <c r="AK10" s="38"/>
      <c r="AM10" s="36"/>
      <c r="AN10" s="38"/>
      <c r="AP10" s="166"/>
      <c r="AQ10" s="167"/>
      <c r="AR10" s="167"/>
      <c r="AS10" s="168"/>
    </row>
    <row r="11" spans="1:45" x14ac:dyDescent="0.25">
      <c r="A11" s="191" t="s">
        <v>594</v>
      </c>
      <c r="C11" s="40">
        <v>144</v>
      </c>
      <c r="D11" s="40">
        <v>71</v>
      </c>
      <c r="E11" s="40">
        <v>0</v>
      </c>
      <c r="F11" s="40">
        <v>1</v>
      </c>
      <c r="G11" s="40">
        <v>0</v>
      </c>
      <c r="I11" s="40">
        <v>154</v>
      </c>
      <c r="J11" s="40">
        <v>58</v>
      </c>
      <c r="K11" s="40">
        <v>3</v>
      </c>
      <c r="M11" s="40">
        <v>154</v>
      </c>
      <c r="N11" s="40">
        <v>155</v>
      </c>
      <c r="O11" s="40">
        <v>60</v>
      </c>
      <c r="P11" s="40">
        <v>53</v>
      </c>
      <c r="R11" s="40">
        <v>146</v>
      </c>
      <c r="S11" s="40">
        <v>69</v>
      </c>
      <c r="U11" s="40">
        <v>150</v>
      </c>
      <c r="V11" s="40">
        <v>58</v>
      </c>
      <c r="X11" s="59">
        <v>155</v>
      </c>
      <c r="Y11" s="59"/>
      <c r="AA11" s="59">
        <f>178</f>
        <v>178</v>
      </c>
      <c r="AB11" s="59"/>
      <c r="AD11" s="59"/>
      <c r="AE11" s="59"/>
      <c r="AG11" s="40">
        <v>91</v>
      </c>
      <c r="AH11" s="40">
        <v>110</v>
      </c>
      <c r="AJ11" s="40">
        <v>126</v>
      </c>
      <c r="AK11" s="40">
        <v>74</v>
      </c>
      <c r="AM11" s="40">
        <v>132</v>
      </c>
      <c r="AN11" s="40">
        <v>67</v>
      </c>
      <c r="AP11" s="40">
        <v>220</v>
      </c>
      <c r="AQ11" s="42">
        <v>21</v>
      </c>
      <c r="AR11" s="42">
        <v>44</v>
      </c>
      <c r="AS11" s="42">
        <f>2+3</f>
        <v>5</v>
      </c>
    </row>
    <row r="12" spans="1:45" x14ac:dyDescent="0.25">
      <c r="A12" s="191" t="s">
        <v>595</v>
      </c>
      <c r="C12" s="40">
        <v>189</v>
      </c>
      <c r="D12" s="40">
        <v>68</v>
      </c>
      <c r="E12" s="40">
        <v>0</v>
      </c>
      <c r="F12" s="40">
        <v>0</v>
      </c>
      <c r="G12" s="40">
        <v>0</v>
      </c>
      <c r="I12" s="40">
        <v>195</v>
      </c>
      <c r="J12" s="40">
        <v>60</v>
      </c>
      <c r="K12" s="40">
        <v>1</v>
      </c>
      <c r="M12" s="40">
        <v>192</v>
      </c>
      <c r="N12" s="40">
        <v>195</v>
      </c>
      <c r="O12" s="40">
        <v>58</v>
      </c>
      <c r="P12" s="40">
        <v>55</v>
      </c>
      <c r="R12" s="40">
        <v>183</v>
      </c>
      <c r="S12" s="40">
        <v>71</v>
      </c>
      <c r="U12" s="40">
        <v>193</v>
      </c>
      <c r="V12" s="40">
        <v>57</v>
      </c>
      <c r="X12" s="40">
        <v>185</v>
      </c>
      <c r="Y12" s="40"/>
      <c r="AA12" s="40"/>
      <c r="AB12" s="40"/>
      <c r="AD12" s="40">
        <f>209</f>
        <v>209</v>
      </c>
      <c r="AE12" s="40"/>
      <c r="AG12" s="40">
        <v>103</v>
      </c>
      <c r="AH12" s="40">
        <v>132</v>
      </c>
      <c r="AJ12" s="40">
        <v>143</v>
      </c>
      <c r="AK12" s="40">
        <v>91</v>
      </c>
      <c r="AM12" s="40">
        <v>166</v>
      </c>
      <c r="AN12" s="40">
        <v>72</v>
      </c>
      <c r="AP12" s="40">
        <v>261</v>
      </c>
      <c r="AQ12" s="42">
        <v>9</v>
      </c>
      <c r="AR12" s="42">
        <v>22</v>
      </c>
      <c r="AS12" s="42">
        <f>0+3</f>
        <v>3</v>
      </c>
    </row>
    <row r="13" spans="1:45" ht="15.75" thickBot="1" x14ac:dyDescent="0.3"/>
    <row r="14" spans="1:45" ht="15.75" thickBot="1" x14ac:dyDescent="0.3">
      <c r="A14" s="50" t="s">
        <v>8</v>
      </c>
      <c r="B14" s="192"/>
      <c r="C14" s="51">
        <f>+SUM(C11:C12)</f>
        <v>333</v>
      </c>
      <c r="D14" s="51">
        <f t="shared" ref="D14:AB14" si="0">+SUM(D11:D12)</f>
        <v>139</v>
      </c>
      <c r="E14" s="51">
        <f t="shared" si="0"/>
        <v>0</v>
      </c>
      <c r="F14" s="51">
        <f t="shared" si="0"/>
        <v>1</v>
      </c>
      <c r="G14" s="51">
        <f t="shared" si="0"/>
        <v>0</v>
      </c>
      <c r="I14" s="51">
        <f t="shared" si="0"/>
        <v>349</v>
      </c>
      <c r="J14" s="51">
        <f t="shared" si="0"/>
        <v>118</v>
      </c>
      <c r="K14" s="51">
        <f t="shared" si="0"/>
        <v>4</v>
      </c>
      <c r="M14" s="51">
        <f t="shared" si="0"/>
        <v>346</v>
      </c>
      <c r="N14" s="51">
        <f t="shared" si="0"/>
        <v>350</v>
      </c>
      <c r="O14" s="51">
        <f t="shared" si="0"/>
        <v>118</v>
      </c>
      <c r="P14" s="51">
        <f t="shared" si="0"/>
        <v>108</v>
      </c>
      <c r="R14" s="51">
        <f t="shared" si="0"/>
        <v>329</v>
      </c>
      <c r="S14" s="51">
        <f t="shared" si="0"/>
        <v>140</v>
      </c>
      <c r="U14" s="51">
        <f t="shared" si="0"/>
        <v>343</v>
      </c>
      <c r="V14" s="51">
        <f t="shared" si="0"/>
        <v>115</v>
      </c>
      <c r="X14" s="51">
        <f t="shared" si="0"/>
        <v>340</v>
      </c>
      <c r="Y14" s="51">
        <f t="shared" si="0"/>
        <v>0</v>
      </c>
      <c r="AA14" s="51">
        <f t="shared" si="0"/>
        <v>178</v>
      </c>
      <c r="AB14" s="51">
        <f t="shared" si="0"/>
        <v>0</v>
      </c>
      <c r="AD14" s="51">
        <f t="shared" ref="AD14:AK14" si="1">+SUM(AD11:AD12)</f>
        <v>209</v>
      </c>
      <c r="AE14" s="51">
        <f t="shared" si="1"/>
        <v>0</v>
      </c>
      <c r="AG14" s="51">
        <f t="shared" si="1"/>
        <v>194</v>
      </c>
      <c r="AH14" s="51">
        <f t="shared" si="1"/>
        <v>242</v>
      </c>
      <c r="AJ14" s="51">
        <f t="shared" si="1"/>
        <v>269</v>
      </c>
      <c r="AK14" s="51">
        <f t="shared" si="1"/>
        <v>165</v>
      </c>
      <c r="AM14" s="51">
        <f t="shared" ref="AM14:AN14" si="2">+SUM(AM11:AM12)</f>
        <v>298</v>
      </c>
      <c r="AN14" s="51">
        <f t="shared" si="2"/>
        <v>139</v>
      </c>
      <c r="AP14" s="51">
        <f>+SUM(AP11:AP12)</f>
        <v>481</v>
      </c>
      <c r="AQ14" s="51">
        <f>+SUM(AQ11:AQ12)</f>
        <v>30</v>
      </c>
      <c r="AR14" s="51">
        <f>+SUM(AR11:AR12)</f>
        <v>66</v>
      </c>
      <c r="AS14" s="51">
        <f>+SUM(AS11:AS12)</f>
        <v>8</v>
      </c>
    </row>
    <row r="15" spans="1:45" x14ac:dyDescent="0.25">
      <c r="A15" s="92" t="s">
        <v>146</v>
      </c>
      <c r="B15" s="192"/>
      <c r="C15" s="53">
        <f>6+7</f>
        <v>13</v>
      </c>
      <c r="D15" s="53">
        <f>15+2</f>
        <v>17</v>
      </c>
      <c r="E15" s="53">
        <v>0</v>
      </c>
      <c r="F15" s="53">
        <v>0</v>
      </c>
      <c r="G15" s="53">
        <v>0</v>
      </c>
      <c r="I15" s="53">
        <f>9+6</f>
        <v>15</v>
      </c>
      <c r="J15" s="53">
        <f>12+3</f>
        <v>15</v>
      </c>
      <c r="K15" s="53">
        <v>0</v>
      </c>
      <c r="M15" s="53">
        <f>9+6</f>
        <v>15</v>
      </c>
      <c r="N15" s="53">
        <f>11+6</f>
        <v>17</v>
      </c>
      <c r="O15" s="53">
        <f>12+3</f>
        <v>15</v>
      </c>
      <c r="P15" s="53">
        <f>10+3</f>
        <v>13</v>
      </c>
      <c r="R15" s="53">
        <f>7+5</f>
        <v>12</v>
      </c>
      <c r="S15" s="53">
        <f>14+4</f>
        <v>18</v>
      </c>
      <c r="U15" s="53">
        <f>11+6</f>
        <v>17</v>
      </c>
      <c r="V15" s="53">
        <f>8+3</f>
        <v>11</v>
      </c>
      <c r="X15" s="53">
        <f>9+5</f>
        <v>14</v>
      </c>
      <c r="Y15" s="53"/>
      <c r="AA15" s="53">
        <v>10</v>
      </c>
      <c r="AB15" s="53"/>
      <c r="AD15" s="53">
        <v>7</v>
      </c>
      <c r="AE15" s="53"/>
      <c r="AG15" s="53">
        <f>11+3</f>
        <v>14</v>
      </c>
      <c r="AH15" s="53">
        <f>10+5</f>
        <v>15</v>
      </c>
      <c r="AJ15" s="53">
        <f>17+7</f>
        <v>24</v>
      </c>
      <c r="AK15" s="53">
        <f>4+1</f>
        <v>5</v>
      </c>
      <c r="AM15" s="53">
        <f>15+8</f>
        <v>23</v>
      </c>
      <c r="AN15" s="53">
        <v>6</v>
      </c>
      <c r="AP15" s="93"/>
      <c r="AQ15" s="93"/>
      <c r="AR15" s="93"/>
      <c r="AS15" s="93"/>
    </row>
    <row r="16" spans="1:45" x14ac:dyDescent="0.25">
      <c r="A16" s="92" t="s">
        <v>43</v>
      </c>
      <c r="B16" s="192"/>
      <c r="C16" s="41">
        <v>17</v>
      </c>
      <c r="D16" s="41">
        <v>48</v>
      </c>
      <c r="E16" s="41">
        <v>0</v>
      </c>
      <c r="F16" s="41">
        <v>0</v>
      </c>
      <c r="G16" s="41">
        <v>0</v>
      </c>
      <c r="I16" s="41">
        <v>17</v>
      </c>
      <c r="J16" s="41">
        <v>47</v>
      </c>
      <c r="K16" s="41">
        <v>1</v>
      </c>
      <c r="M16" s="41">
        <v>17</v>
      </c>
      <c r="N16" s="41">
        <v>17</v>
      </c>
      <c r="O16" s="41">
        <v>48</v>
      </c>
      <c r="P16" s="41">
        <v>48</v>
      </c>
      <c r="R16" s="41">
        <v>18</v>
      </c>
      <c r="S16" s="41">
        <v>47</v>
      </c>
      <c r="U16" s="41">
        <v>23</v>
      </c>
      <c r="V16" s="41">
        <v>40</v>
      </c>
      <c r="X16" s="41">
        <v>29</v>
      </c>
      <c r="Y16" s="41"/>
      <c r="AA16" s="41">
        <v>20</v>
      </c>
      <c r="AB16" s="41"/>
      <c r="AD16" s="41">
        <v>13</v>
      </c>
      <c r="AE16" s="41"/>
      <c r="AG16" s="41">
        <f>14+9</f>
        <v>23</v>
      </c>
      <c r="AH16" s="41">
        <f>25+12</f>
        <v>37</v>
      </c>
      <c r="AJ16" s="41">
        <f>24+15</f>
        <v>39</v>
      </c>
      <c r="AK16" s="41">
        <f>15+5</f>
        <v>20</v>
      </c>
      <c r="AM16" s="41">
        <v>47</v>
      </c>
      <c r="AN16" s="41">
        <v>13</v>
      </c>
      <c r="AP16" s="93"/>
      <c r="AQ16" s="93"/>
      <c r="AR16" s="93"/>
      <c r="AS16" s="93"/>
    </row>
    <row r="17" spans="1:45" x14ac:dyDescent="0.25">
      <c r="A17" s="94" t="s">
        <v>644</v>
      </c>
      <c r="B17" s="192"/>
      <c r="C17" s="95">
        <v>0</v>
      </c>
      <c r="D17" s="95">
        <v>2</v>
      </c>
      <c r="E17" s="95">
        <v>0</v>
      </c>
      <c r="F17" s="95">
        <v>0</v>
      </c>
      <c r="G17" s="95">
        <v>0</v>
      </c>
      <c r="I17" s="95">
        <v>0</v>
      </c>
      <c r="J17" s="95">
        <v>2</v>
      </c>
      <c r="K17" s="95">
        <v>0</v>
      </c>
      <c r="M17" s="95">
        <v>0</v>
      </c>
      <c r="N17" s="95">
        <v>0</v>
      </c>
      <c r="O17" s="95">
        <v>2</v>
      </c>
      <c r="P17" s="95">
        <v>2</v>
      </c>
      <c r="R17" s="95">
        <v>0</v>
      </c>
      <c r="S17" s="95">
        <v>2</v>
      </c>
      <c r="U17" s="95">
        <v>0</v>
      </c>
      <c r="V17" s="95">
        <v>2</v>
      </c>
      <c r="X17" s="95">
        <v>0</v>
      </c>
      <c r="Y17" s="95"/>
      <c r="AA17" s="95">
        <v>0</v>
      </c>
      <c r="AB17" s="95"/>
      <c r="AD17" s="95">
        <v>0</v>
      </c>
      <c r="AE17" s="95"/>
      <c r="AG17" s="95">
        <f>1</f>
        <v>1</v>
      </c>
      <c r="AH17" s="95">
        <f>1</f>
        <v>1</v>
      </c>
      <c r="AJ17" s="95">
        <f>2</f>
        <v>2</v>
      </c>
      <c r="AK17" s="95">
        <f>0</f>
        <v>0</v>
      </c>
      <c r="AM17" s="95">
        <v>2</v>
      </c>
      <c r="AN17" s="95">
        <v>0</v>
      </c>
      <c r="AP17" s="93"/>
      <c r="AQ17" s="93"/>
      <c r="AR17" s="93"/>
      <c r="AS17" s="93"/>
    </row>
    <row r="18" spans="1:45" x14ac:dyDescent="0.25">
      <c r="A18" s="94" t="s">
        <v>645</v>
      </c>
      <c r="B18" s="192"/>
      <c r="C18" s="95">
        <v>4</v>
      </c>
      <c r="D18" s="95">
        <v>2</v>
      </c>
      <c r="E18" s="95">
        <v>0</v>
      </c>
      <c r="F18" s="95">
        <v>0</v>
      </c>
      <c r="G18" s="95">
        <v>0</v>
      </c>
      <c r="I18" s="95">
        <v>4</v>
      </c>
      <c r="J18" s="95">
        <v>2</v>
      </c>
      <c r="K18" s="95">
        <v>0</v>
      </c>
      <c r="M18" s="95">
        <v>4</v>
      </c>
      <c r="N18" s="95">
        <v>4</v>
      </c>
      <c r="O18" s="95">
        <v>2</v>
      </c>
      <c r="P18" s="95">
        <v>2</v>
      </c>
      <c r="R18" s="95">
        <v>4</v>
      </c>
      <c r="S18" s="95">
        <v>2</v>
      </c>
      <c r="U18" s="95">
        <v>4</v>
      </c>
      <c r="V18" s="95">
        <v>2</v>
      </c>
      <c r="X18" s="95">
        <v>5</v>
      </c>
      <c r="Y18" s="95"/>
      <c r="AA18" s="95">
        <v>2</v>
      </c>
      <c r="AB18" s="95"/>
      <c r="AD18" s="95">
        <v>3</v>
      </c>
      <c r="AE18" s="95"/>
      <c r="AF18" s="191" t="s">
        <v>258</v>
      </c>
      <c r="AG18" s="95">
        <f>0+2</f>
        <v>2</v>
      </c>
      <c r="AH18" s="95">
        <f>2+1</f>
        <v>3</v>
      </c>
      <c r="AJ18" s="95">
        <f>1+2</f>
        <v>3</v>
      </c>
      <c r="AK18" s="95">
        <f>1+1</f>
        <v>2</v>
      </c>
      <c r="AM18" s="95">
        <v>3</v>
      </c>
      <c r="AN18" s="95">
        <v>2</v>
      </c>
      <c r="AP18" s="93"/>
      <c r="AQ18" s="93"/>
      <c r="AR18" s="93"/>
      <c r="AS18" s="93"/>
    </row>
    <row r="19" spans="1:45" ht="15.75" thickBot="1" x14ac:dyDescent="0.3">
      <c r="A19" s="94" t="s">
        <v>651</v>
      </c>
      <c r="B19" s="192"/>
      <c r="C19" s="95">
        <v>0</v>
      </c>
      <c r="D19" s="95">
        <v>0</v>
      </c>
      <c r="E19" s="95">
        <v>0</v>
      </c>
      <c r="F19" s="95">
        <v>0</v>
      </c>
      <c r="G19" s="95">
        <v>0</v>
      </c>
      <c r="I19" s="95">
        <v>0</v>
      </c>
      <c r="J19" s="95">
        <v>0</v>
      </c>
      <c r="K19" s="95">
        <v>0</v>
      </c>
      <c r="M19" s="95">
        <v>0</v>
      </c>
      <c r="N19" s="95">
        <v>0</v>
      </c>
      <c r="O19" s="95">
        <v>0</v>
      </c>
      <c r="P19" s="95">
        <v>0</v>
      </c>
      <c r="R19" s="95">
        <v>0</v>
      </c>
      <c r="S19" s="95">
        <v>0</v>
      </c>
      <c r="U19" s="95">
        <v>0</v>
      </c>
      <c r="V19" s="95">
        <v>0</v>
      </c>
      <c r="X19" s="95">
        <v>0</v>
      </c>
      <c r="Y19" s="95"/>
      <c r="AA19" s="95">
        <v>0</v>
      </c>
      <c r="AB19" s="95"/>
      <c r="AD19" s="95">
        <v>0</v>
      </c>
      <c r="AE19" s="95"/>
      <c r="AG19" s="95">
        <v>0</v>
      </c>
      <c r="AH19" s="95">
        <v>0</v>
      </c>
      <c r="AJ19" s="95">
        <v>0</v>
      </c>
      <c r="AK19" s="95">
        <v>0</v>
      </c>
      <c r="AM19" s="95">
        <v>0</v>
      </c>
      <c r="AN19" s="95">
        <v>0</v>
      </c>
      <c r="AP19" s="93"/>
      <c r="AQ19" s="93"/>
      <c r="AR19" s="93"/>
      <c r="AS19" s="93"/>
    </row>
    <row r="20" spans="1:45" ht="15.75" thickBot="1" x14ac:dyDescent="0.3">
      <c r="A20" s="50" t="s">
        <v>45</v>
      </c>
      <c r="B20" s="192"/>
      <c r="C20" s="51">
        <f>+SUM(C14:C19)</f>
        <v>367</v>
      </c>
      <c r="D20" s="51">
        <f t="shared" ref="D20:G20" si="3">+SUM(D14:D19)</f>
        <v>208</v>
      </c>
      <c r="E20" s="51">
        <f t="shared" si="3"/>
        <v>0</v>
      </c>
      <c r="F20" s="51">
        <f t="shared" si="3"/>
        <v>1</v>
      </c>
      <c r="G20" s="51">
        <f t="shared" si="3"/>
        <v>0</v>
      </c>
      <c r="I20" s="51">
        <f t="shared" ref="I20:K20" si="4">+SUM(I14:I19)</f>
        <v>385</v>
      </c>
      <c r="J20" s="51">
        <f t="shared" si="4"/>
        <v>184</v>
      </c>
      <c r="K20" s="51">
        <f t="shared" si="4"/>
        <v>5</v>
      </c>
      <c r="M20" s="51">
        <f t="shared" ref="M20:P20" si="5">+SUM(M14:M19)</f>
        <v>382</v>
      </c>
      <c r="N20" s="51">
        <f t="shared" si="5"/>
        <v>388</v>
      </c>
      <c r="O20" s="51">
        <f t="shared" si="5"/>
        <v>185</v>
      </c>
      <c r="P20" s="51">
        <f t="shared" si="5"/>
        <v>173</v>
      </c>
      <c r="R20" s="51">
        <f t="shared" ref="R20:S20" si="6">+SUM(R14:R19)</f>
        <v>363</v>
      </c>
      <c r="S20" s="51">
        <f t="shared" si="6"/>
        <v>209</v>
      </c>
      <c r="U20" s="51">
        <f t="shared" ref="U20:V20" si="7">+SUM(U14:U19)</f>
        <v>387</v>
      </c>
      <c r="V20" s="51">
        <f t="shared" si="7"/>
        <v>170</v>
      </c>
      <c r="X20" s="51">
        <f t="shared" ref="X20:Y20" si="8">+SUM(X14:X19)</f>
        <v>388</v>
      </c>
      <c r="Y20" s="51">
        <f t="shared" si="8"/>
        <v>0</v>
      </c>
      <c r="AA20" s="51">
        <f t="shared" ref="AA20:AB20" si="9">+SUM(AA14:AA19)</f>
        <v>210</v>
      </c>
      <c r="AB20" s="51">
        <f t="shared" si="9"/>
        <v>0</v>
      </c>
      <c r="AD20" s="51">
        <f t="shared" ref="AD20:AE20" si="10">+SUM(AD14:AD19)</f>
        <v>232</v>
      </c>
      <c r="AE20" s="51">
        <f t="shared" si="10"/>
        <v>0</v>
      </c>
      <c r="AG20" s="51">
        <f t="shared" ref="AG20:AH20" si="11">+SUM(AG14:AG19)</f>
        <v>234</v>
      </c>
      <c r="AH20" s="51">
        <f t="shared" si="11"/>
        <v>298</v>
      </c>
      <c r="AJ20" s="51">
        <f t="shared" ref="AJ20:AK20" si="12">+SUM(AJ14:AJ19)</f>
        <v>337</v>
      </c>
      <c r="AK20" s="51">
        <f t="shared" si="12"/>
        <v>192</v>
      </c>
      <c r="AM20" s="51">
        <f t="shared" ref="AM20:AN20" si="13">+SUM(AM14:AM19)</f>
        <v>373</v>
      </c>
      <c r="AN20" s="51">
        <f t="shared" si="13"/>
        <v>160</v>
      </c>
      <c r="AP20" s="96"/>
      <c r="AQ20" s="96"/>
      <c r="AR20" s="96"/>
      <c r="AS20" s="96"/>
    </row>
  </sheetData>
  <mergeCells count="23">
    <mergeCell ref="AJ3:AK3"/>
    <mergeCell ref="AM6:AM8"/>
    <mergeCell ref="AN6:AN8"/>
    <mergeCell ref="AG6:AG8"/>
    <mergeCell ref="AH6:AH8"/>
    <mergeCell ref="AJ6:AJ8"/>
    <mergeCell ref="AK6:AK8"/>
    <mergeCell ref="AP2:AS3"/>
    <mergeCell ref="C2:G2"/>
    <mergeCell ref="I2:P2"/>
    <mergeCell ref="C3:G3"/>
    <mergeCell ref="I3:K3"/>
    <mergeCell ref="M3:P3"/>
    <mergeCell ref="R3:S3"/>
    <mergeCell ref="U3:V3"/>
    <mergeCell ref="X3:Y3"/>
    <mergeCell ref="AM3:AN3"/>
    <mergeCell ref="X2:Y2"/>
    <mergeCell ref="AA2:AB2"/>
    <mergeCell ref="AA3:AB3"/>
    <mergeCell ref="AD2:AE2"/>
    <mergeCell ref="AD3:AE3"/>
    <mergeCell ref="AG3:AH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6" max="1048575" man="1"/>
    <brk id="3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6"/>
  <sheetViews>
    <sheetView zoomScale="75" zoomScaleNormal="75" workbookViewId="0">
      <pane xSplit="1" topLeftCell="D1" activePane="topRight" state="frozen"/>
      <selection pane="topRight"/>
    </sheetView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.2851562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7" width="14" style="191" customWidth="1"/>
    <col min="28" max="28" width="1.7109375" style="191" customWidth="1"/>
    <col min="29" max="30" width="14" style="191" customWidth="1"/>
    <col min="31" max="31" width="1.7109375" style="191" customWidth="1"/>
    <col min="32" max="32" width="11.85546875" style="191" customWidth="1"/>
    <col min="33" max="33" width="14" style="191" customWidth="1"/>
    <col min="34" max="34" width="1.7109375" style="191" customWidth="1"/>
    <col min="35" max="36" width="11.85546875" style="191" customWidth="1"/>
    <col min="37" max="37" width="14" style="191" customWidth="1"/>
    <col min="38" max="38" width="1.7109375" style="191" customWidth="1"/>
    <col min="39" max="40" width="9.7109375" style="191" customWidth="1"/>
    <col min="41" max="41" width="1.7109375" style="191" customWidth="1"/>
    <col min="42" max="43" width="9.7109375" style="191" customWidth="1"/>
    <col min="44" max="44" width="1.7109375" style="191" customWidth="1"/>
    <col min="45" max="45" width="13.42578125" style="191" customWidth="1"/>
    <col min="46" max="47" width="9.5703125" style="191" customWidth="1"/>
    <col min="48" max="68" width="13.42578125" style="191" customWidth="1"/>
    <col min="69" max="16384" width="9.140625" style="191"/>
  </cols>
  <sheetData>
    <row r="1" spans="1:48" x14ac:dyDescent="0.25">
      <c r="AF1" s="224" t="s">
        <v>623</v>
      </c>
      <c r="AG1" s="226"/>
    </row>
    <row r="2" spans="1:48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112"/>
      <c r="X2" s="113"/>
      <c r="Z2" s="224" t="s">
        <v>147</v>
      </c>
      <c r="AA2" s="226"/>
      <c r="AB2" s="87"/>
      <c r="AC2" s="224" t="s">
        <v>622</v>
      </c>
      <c r="AD2" s="226"/>
      <c r="AF2" s="222" t="s">
        <v>488</v>
      </c>
      <c r="AG2" s="223"/>
      <c r="AI2" s="224" t="s">
        <v>148</v>
      </c>
      <c r="AJ2" s="225"/>
      <c r="AK2" s="226"/>
      <c r="AM2" s="80"/>
      <c r="AN2" s="81"/>
      <c r="AP2" s="80"/>
      <c r="AQ2" s="81"/>
      <c r="AS2" s="234" t="s">
        <v>5</v>
      </c>
      <c r="AT2" s="235"/>
      <c r="AU2" s="235"/>
      <c r="AV2" s="236"/>
    </row>
    <row r="3" spans="1:48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123</v>
      </c>
      <c r="X3" s="223"/>
      <c r="Z3" s="222" t="s">
        <v>149</v>
      </c>
      <c r="AA3" s="223"/>
      <c r="AB3" s="87"/>
      <c r="AC3" s="222" t="s">
        <v>150</v>
      </c>
      <c r="AD3" s="223"/>
      <c r="AF3" s="222" t="s">
        <v>151</v>
      </c>
      <c r="AG3" s="223"/>
      <c r="AI3" s="222" t="s">
        <v>151</v>
      </c>
      <c r="AJ3" s="227"/>
      <c r="AK3" s="223"/>
      <c r="AM3" s="222" t="s">
        <v>126</v>
      </c>
      <c r="AN3" s="223"/>
      <c r="AP3" s="222" t="s">
        <v>127</v>
      </c>
      <c r="AQ3" s="223"/>
      <c r="AS3" s="219"/>
      <c r="AT3" s="220"/>
      <c r="AU3" s="220"/>
      <c r="AV3" s="221"/>
    </row>
    <row r="4" spans="1:48" ht="5.0999999999999996" customHeight="1" thickBot="1" x14ac:dyDescent="0.3">
      <c r="C4" s="186"/>
      <c r="D4" s="187"/>
      <c r="E4" s="187"/>
      <c r="F4" s="187"/>
      <c r="G4" s="188"/>
      <c r="I4" s="186"/>
      <c r="J4" s="187"/>
      <c r="K4" s="140"/>
      <c r="L4" s="67"/>
      <c r="M4" s="67"/>
      <c r="N4" s="67"/>
      <c r="O4" s="156"/>
      <c r="Q4" s="114"/>
      <c r="R4" s="79"/>
      <c r="T4" s="114"/>
      <c r="U4" s="79"/>
      <c r="W4" s="114"/>
      <c r="X4" s="74"/>
      <c r="Z4" s="99"/>
      <c r="AA4" s="69"/>
      <c r="AC4" s="99"/>
      <c r="AD4" s="69"/>
      <c r="AF4" s="99"/>
      <c r="AG4" s="69"/>
      <c r="AI4" s="241"/>
      <c r="AJ4" s="242"/>
      <c r="AK4" s="243"/>
      <c r="AM4" s="75"/>
      <c r="AN4" s="74"/>
      <c r="AP4" s="75"/>
      <c r="AQ4" s="74"/>
      <c r="AS4" s="204"/>
      <c r="AT4" s="205"/>
      <c r="AU4" s="205"/>
      <c r="AV4" s="206"/>
    </row>
    <row r="5" spans="1:48" x14ac:dyDescent="0.25">
      <c r="C5" s="5"/>
      <c r="D5" s="8"/>
      <c r="E5" s="8"/>
      <c r="F5" s="8"/>
      <c r="G5" s="6"/>
      <c r="H5" s="132"/>
      <c r="I5" s="5"/>
      <c r="J5" s="6"/>
      <c r="K5" s="132"/>
      <c r="L5" s="89"/>
      <c r="M5" s="98"/>
      <c r="N5" s="98"/>
      <c r="O5" s="6"/>
      <c r="P5" s="132"/>
      <c r="Q5" s="5"/>
      <c r="R5" s="6"/>
      <c r="S5" s="132"/>
      <c r="T5" s="5"/>
      <c r="U5" s="6"/>
      <c r="V5" s="132"/>
      <c r="W5" s="10"/>
      <c r="X5" s="97"/>
      <c r="Z5" s="194"/>
      <c r="AA5" s="195"/>
      <c r="AC5" s="194"/>
      <c r="AD5" s="195"/>
      <c r="AF5" s="194"/>
      <c r="AG5" s="195"/>
      <c r="AI5" s="194"/>
      <c r="AJ5" s="196"/>
      <c r="AK5" s="195"/>
      <c r="AM5" s="10"/>
      <c r="AN5" s="12"/>
      <c r="AO5" s="132"/>
      <c r="AP5" s="10"/>
      <c r="AQ5" s="12"/>
      <c r="AR5" s="132"/>
      <c r="AS5" s="157"/>
      <c r="AT5" s="158"/>
      <c r="AU5" s="158"/>
      <c r="AV5" s="159"/>
    </row>
    <row r="6" spans="1:48" s="192" customFormat="1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9"/>
      <c r="I6" s="20" t="str">
        <f>+'Lead Sheet'!S6</f>
        <v>Vince</v>
      </c>
      <c r="J6" s="21" t="str">
        <f>+'Lead Sheet'!T6</f>
        <v>Vince</v>
      </c>
      <c r="K6" s="9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9"/>
      <c r="Q6" s="20" t="str">
        <f>+'Lead Sheet'!AR6</f>
        <v>Joseph J.</v>
      </c>
      <c r="R6" s="21" t="str">
        <f>+'Lead Sheet'!AS6</f>
        <v>Lisa</v>
      </c>
      <c r="S6" s="9"/>
      <c r="T6" s="20" t="str">
        <f>+'Lead Sheet'!AU6</f>
        <v>Frank X.</v>
      </c>
      <c r="U6" s="21" t="str">
        <f>+'Lead Sheet'!AV6</f>
        <v>Celeste</v>
      </c>
      <c r="V6" s="9"/>
      <c r="W6" s="20" t="str">
        <f>+'Lead Sheet'!AX6</f>
        <v>Maureen</v>
      </c>
      <c r="X6" s="21" t="str">
        <f>+'Lead Sheet'!AY6</f>
        <v>Jelani</v>
      </c>
      <c r="Z6" s="20" t="s">
        <v>611</v>
      </c>
      <c r="AA6" s="21" t="s">
        <v>613</v>
      </c>
      <c r="AC6" s="20" t="s">
        <v>609</v>
      </c>
      <c r="AD6" s="21" t="s">
        <v>183</v>
      </c>
      <c r="AF6" s="20" t="s">
        <v>615</v>
      </c>
      <c r="AG6" s="21" t="s">
        <v>617</v>
      </c>
      <c r="AI6" s="20" t="s">
        <v>69</v>
      </c>
      <c r="AJ6" s="7" t="s">
        <v>620</v>
      </c>
      <c r="AK6" s="21" t="s">
        <v>186</v>
      </c>
      <c r="AM6" s="229" t="s">
        <v>9</v>
      </c>
      <c r="AN6" s="230" t="s">
        <v>10</v>
      </c>
      <c r="AO6" s="132"/>
      <c r="AP6" s="229" t="s">
        <v>9</v>
      </c>
      <c r="AQ6" s="230" t="s">
        <v>10</v>
      </c>
      <c r="AR6" s="9"/>
      <c r="AS6" s="160" t="s">
        <v>8</v>
      </c>
      <c r="AT6" s="161" t="s">
        <v>8</v>
      </c>
      <c r="AU6" s="161" t="s">
        <v>8</v>
      </c>
      <c r="AV6" s="162" t="s">
        <v>8</v>
      </c>
    </row>
    <row r="7" spans="1:48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20" t="str">
        <f>+'Lead Sheet'!S7</f>
        <v>POLISTINA</v>
      </c>
      <c r="J7" s="21" t="str">
        <f>+'Lead Sheet'!T7</f>
        <v>MAZZEO</v>
      </c>
      <c r="K7" s="132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132"/>
      <c r="Q7" s="20" t="str">
        <f>+'Lead Sheet'!AR7</f>
        <v>GIRALO</v>
      </c>
      <c r="R7" s="21" t="str">
        <f>+'Lead Sheet'!AS7</f>
        <v>JIAMPETTI</v>
      </c>
      <c r="S7" s="132"/>
      <c r="T7" s="20" t="str">
        <f>+'Lead Sheet'!AU7</f>
        <v>BALLES</v>
      </c>
      <c r="U7" s="21" t="str">
        <f>+'Lead Sheet'!AV7</f>
        <v>FERNANDEZ</v>
      </c>
      <c r="V7" s="132"/>
      <c r="W7" s="20" t="str">
        <f>+'Lead Sheet'!AX7</f>
        <v>KERN</v>
      </c>
      <c r="X7" s="21" t="str">
        <f>+'Lead Sheet'!AY7</f>
        <v>GANDY</v>
      </c>
      <c r="Z7" s="20" t="s">
        <v>612</v>
      </c>
      <c r="AA7" s="21" t="s">
        <v>614</v>
      </c>
      <c r="AC7" s="20" t="s">
        <v>610</v>
      </c>
      <c r="AD7" s="21" t="s">
        <v>159</v>
      </c>
      <c r="AF7" s="20" t="s">
        <v>616</v>
      </c>
      <c r="AG7" s="21" t="s">
        <v>618</v>
      </c>
      <c r="AI7" s="20" t="s">
        <v>619</v>
      </c>
      <c r="AJ7" s="7" t="s">
        <v>621</v>
      </c>
      <c r="AK7" s="21" t="s">
        <v>639</v>
      </c>
      <c r="AM7" s="229"/>
      <c r="AN7" s="230"/>
      <c r="AO7" s="132"/>
      <c r="AP7" s="229"/>
      <c r="AQ7" s="230"/>
      <c r="AR7" s="132"/>
      <c r="AS7" s="160" t="s">
        <v>12</v>
      </c>
      <c r="AT7" s="161" t="s">
        <v>144</v>
      </c>
      <c r="AU7" s="161" t="s">
        <v>13</v>
      </c>
      <c r="AV7" s="162" t="s">
        <v>14</v>
      </c>
    </row>
    <row r="8" spans="1:48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20" t="str">
        <f>+'Lead Sheet'!S8</f>
        <v>Republican</v>
      </c>
      <c r="J8" s="21" t="str">
        <f>+'Lead Sheet'!T8</f>
        <v>Democrat</v>
      </c>
      <c r="K8" s="132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132"/>
      <c r="Q8" s="20" t="str">
        <f>+'Lead Sheet'!AR8</f>
        <v>Republican</v>
      </c>
      <c r="R8" s="21" t="str">
        <f>+'Lead Sheet'!AS8</f>
        <v>Democrat</v>
      </c>
      <c r="S8" s="132"/>
      <c r="T8" s="20" t="str">
        <f>+'Lead Sheet'!AU8</f>
        <v>Republican</v>
      </c>
      <c r="U8" s="21" t="str">
        <f>+'Lead Sheet'!AV8</f>
        <v>Democrat</v>
      </c>
      <c r="V8" s="132"/>
      <c r="W8" s="20" t="str">
        <f>+'Lead Sheet'!AX8</f>
        <v>Republican</v>
      </c>
      <c r="X8" s="21" t="str">
        <f>+'Lead Sheet'!AY8</f>
        <v>Democrat</v>
      </c>
      <c r="Z8" s="20" t="s">
        <v>16</v>
      </c>
      <c r="AA8" s="21" t="s">
        <v>59</v>
      </c>
      <c r="AC8" s="20" t="s">
        <v>16</v>
      </c>
      <c r="AD8" s="21" t="s">
        <v>59</v>
      </c>
      <c r="AF8" s="20"/>
      <c r="AG8" s="21"/>
      <c r="AI8" s="20"/>
      <c r="AJ8" s="7"/>
      <c r="AK8" s="21"/>
      <c r="AM8" s="229"/>
      <c r="AN8" s="230"/>
      <c r="AO8" s="132"/>
      <c r="AP8" s="229"/>
      <c r="AQ8" s="230"/>
      <c r="AR8" s="132"/>
      <c r="AS8" s="160" t="s">
        <v>18</v>
      </c>
      <c r="AT8" s="161" t="s">
        <v>145</v>
      </c>
      <c r="AU8" s="161" t="s">
        <v>19</v>
      </c>
      <c r="AV8" s="162" t="s">
        <v>18</v>
      </c>
    </row>
    <row r="9" spans="1:48" x14ac:dyDescent="0.25">
      <c r="C9" s="60"/>
      <c r="D9" s="31"/>
      <c r="E9" s="31"/>
      <c r="F9" s="31"/>
      <c r="G9" s="61"/>
      <c r="H9" s="132"/>
      <c r="I9" s="20"/>
      <c r="J9" s="21"/>
      <c r="K9" s="132"/>
      <c r="L9" s="20"/>
      <c r="M9" s="7"/>
      <c r="N9" s="7"/>
      <c r="O9" s="21"/>
      <c r="P9" s="132"/>
      <c r="Q9" s="20"/>
      <c r="R9" s="21"/>
      <c r="S9" s="132"/>
      <c r="T9" s="20"/>
      <c r="U9" s="21"/>
      <c r="V9" s="132"/>
      <c r="W9" s="20"/>
      <c r="X9" s="21"/>
      <c r="Z9" s="20"/>
      <c r="AA9" s="21"/>
      <c r="AC9" s="20"/>
      <c r="AD9" s="21"/>
      <c r="AF9" s="20"/>
      <c r="AG9" s="21"/>
      <c r="AI9" s="20"/>
      <c r="AJ9" s="7"/>
      <c r="AK9" s="21"/>
      <c r="AM9" s="27"/>
      <c r="AN9" s="28"/>
      <c r="AO9" s="132"/>
      <c r="AP9" s="27"/>
      <c r="AQ9" s="28"/>
      <c r="AR9" s="132"/>
      <c r="AS9" s="164"/>
      <c r="AT9" s="163"/>
      <c r="AU9" s="163"/>
      <c r="AV9" s="165"/>
    </row>
    <row r="10" spans="1:48" ht="4.5" customHeight="1" thickBot="1" x14ac:dyDescent="0.3">
      <c r="C10" s="33"/>
      <c r="D10" s="34"/>
      <c r="E10" s="34"/>
      <c r="F10" s="34"/>
      <c r="G10" s="35"/>
      <c r="H10" s="132"/>
      <c r="I10" s="33"/>
      <c r="J10" s="35"/>
      <c r="K10" s="132"/>
      <c r="L10" s="33"/>
      <c r="M10" s="34"/>
      <c r="N10" s="34"/>
      <c r="O10" s="35"/>
      <c r="P10" s="132"/>
      <c r="Q10" s="33"/>
      <c r="R10" s="35"/>
      <c r="S10" s="132"/>
      <c r="T10" s="33"/>
      <c r="U10" s="35"/>
      <c r="V10" s="132"/>
      <c r="W10" s="33"/>
      <c r="X10" s="35"/>
      <c r="Z10" s="33"/>
      <c r="AA10" s="35"/>
      <c r="AC10" s="33"/>
      <c r="AD10" s="35"/>
      <c r="AF10" s="33"/>
      <c r="AG10" s="35"/>
      <c r="AI10" s="33"/>
      <c r="AJ10" s="34"/>
      <c r="AK10" s="35"/>
      <c r="AM10" s="33"/>
      <c r="AN10" s="35"/>
      <c r="AP10" s="33"/>
      <c r="AQ10" s="35"/>
      <c r="AS10" s="166"/>
      <c r="AT10" s="167"/>
      <c r="AU10" s="167"/>
      <c r="AV10" s="168"/>
    </row>
    <row r="11" spans="1:48" ht="15.75" customHeight="1" x14ac:dyDescent="0.25">
      <c r="A11" s="191" t="s">
        <v>601</v>
      </c>
      <c r="C11" s="59">
        <v>290</v>
      </c>
      <c r="D11" s="59">
        <v>161</v>
      </c>
      <c r="E11" s="59">
        <v>2</v>
      </c>
      <c r="F11" s="59">
        <v>1</v>
      </c>
      <c r="G11" s="59">
        <v>0</v>
      </c>
      <c r="I11" s="59">
        <v>284</v>
      </c>
      <c r="J11" s="59">
        <v>162</v>
      </c>
      <c r="L11" s="59">
        <v>267</v>
      </c>
      <c r="M11" s="59">
        <v>269</v>
      </c>
      <c r="N11" s="59">
        <v>175</v>
      </c>
      <c r="O11" s="59">
        <v>164</v>
      </c>
      <c r="Q11" s="59">
        <v>285</v>
      </c>
      <c r="R11" s="59">
        <v>154</v>
      </c>
      <c r="T11" s="59">
        <v>305</v>
      </c>
      <c r="U11" s="59">
        <v>132</v>
      </c>
      <c r="W11" s="59">
        <v>308</v>
      </c>
      <c r="X11" s="59">
        <v>136</v>
      </c>
      <c r="Z11" s="59">
        <v>275</v>
      </c>
      <c r="AA11" s="59">
        <v>166</v>
      </c>
      <c r="AC11" s="59"/>
      <c r="AD11" s="59"/>
      <c r="AF11" s="59">
        <v>238</v>
      </c>
      <c r="AG11" s="59">
        <v>263</v>
      </c>
      <c r="AI11" s="59">
        <v>265</v>
      </c>
      <c r="AJ11" s="59">
        <v>218</v>
      </c>
      <c r="AK11" s="59">
        <v>5</v>
      </c>
      <c r="AM11" s="59">
        <v>182</v>
      </c>
      <c r="AN11" s="59">
        <v>223</v>
      </c>
      <c r="AP11" s="59">
        <v>252</v>
      </c>
      <c r="AQ11" s="59">
        <v>144</v>
      </c>
      <c r="AS11" s="59">
        <v>459</v>
      </c>
      <c r="AT11" s="237">
        <v>112</v>
      </c>
      <c r="AU11" s="237">
        <v>271</v>
      </c>
      <c r="AV11" s="237">
        <f>2+28</f>
        <v>30</v>
      </c>
    </row>
    <row r="12" spans="1:48" ht="15.75" customHeight="1" x14ac:dyDescent="0.25">
      <c r="A12" s="191" t="s">
        <v>602</v>
      </c>
      <c r="C12" s="40">
        <v>224</v>
      </c>
      <c r="D12" s="40">
        <v>155</v>
      </c>
      <c r="E12" s="40">
        <v>2</v>
      </c>
      <c r="F12" s="40">
        <v>1</v>
      </c>
      <c r="G12" s="40">
        <v>0</v>
      </c>
      <c r="I12" s="40">
        <v>218</v>
      </c>
      <c r="J12" s="40">
        <v>157</v>
      </c>
      <c r="L12" s="40">
        <v>217</v>
      </c>
      <c r="M12" s="40">
        <v>220</v>
      </c>
      <c r="N12" s="40">
        <v>151</v>
      </c>
      <c r="O12" s="40">
        <v>149</v>
      </c>
      <c r="Q12" s="40">
        <v>226</v>
      </c>
      <c r="R12" s="40">
        <v>141</v>
      </c>
      <c r="T12" s="40">
        <v>230</v>
      </c>
      <c r="U12" s="40">
        <v>134</v>
      </c>
      <c r="W12" s="40">
        <v>232</v>
      </c>
      <c r="X12" s="40">
        <v>134</v>
      </c>
      <c r="Z12" s="40">
        <v>214</v>
      </c>
      <c r="AA12" s="40">
        <v>157</v>
      </c>
      <c r="AC12" s="40"/>
      <c r="AD12" s="40"/>
      <c r="AF12" s="40">
        <v>189</v>
      </c>
      <c r="AG12" s="40">
        <v>183</v>
      </c>
      <c r="AI12" s="40">
        <v>199</v>
      </c>
      <c r="AJ12" s="40">
        <v>166</v>
      </c>
      <c r="AK12" s="40">
        <v>0</v>
      </c>
      <c r="AM12" s="40">
        <v>179</v>
      </c>
      <c r="AN12" s="40">
        <v>158</v>
      </c>
      <c r="AP12" s="40">
        <v>232</v>
      </c>
      <c r="AQ12" s="40">
        <v>92</v>
      </c>
      <c r="AS12" s="40">
        <v>384</v>
      </c>
      <c r="AT12" s="232"/>
      <c r="AU12" s="232"/>
      <c r="AV12" s="232"/>
    </row>
    <row r="13" spans="1:48" ht="15.75" customHeight="1" x14ac:dyDescent="0.25">
      <c r="A13" s="191" t="s">
        <v>603</v>
      </c>
      <c r="C13" s="40">
        <v>164</v>
      </c>
      <c r="D13" s="40">
        <v>79</v>
      </c>
      <c r="E13" s="40">
        <v>0</v>
      </c>
      <c r="F13" s="40">
        <v>0</v>
      </c>
      <c r="G13" s="40">
        <v>1</v>
      </c>
      <c r="I13" s="40">
        <v>155</v>
      </c>
      <c r="J13" s="40">
        <v>86</v>
      </c>
      <c r="L13" s="40">
        <v>155</v>
      </c>
      <c r="M13" s="40">
        <v>157</v>
      </c>
      <c r="N13" s="40">
        <v>84</v>
      </c>
      <c r="O13" s="40">
        <v>74</v>
      </c>
      <c r="Q13" s="40">
        <v>167</v>
      </c>
      <c r="R13" s="40">
        <v>69</v>
      </c>
      <c r="T13" s="40">
        <v>175</v>
      </c>
      <c r="U13" s="40">
        <v>65</v>
      </c>
      <c r="W13" s="40">
        <v>172</v>
      </c>
      <c r="X13" s="40">
        <v>67</v>
      </c>
      <c r="Z13" s="40">
        <v>154</v>
      </c>
      <c r="AA13" s="40">
        <v>85</v>
      </c>
      <c r="AC13" s="40"/>
      <c r="AD13" s="40"/>
      <c r="AF13" s="40">
        <v>138</v>
      </c>
      <c r="AG13" s="40">
        <v>134</v>
      </c>
      <c r="AI13" s="40">
        <v>149</v>
      </c>
      <c r="AJ13" s="40">
        <v>121</v>
      </c>
      <c r="AK13" s="40">
        <v>0</v>
      </c>
      <c r="AM13" s="40">
        <v>103</v>
      </c>
      <c r="AN13" s="40">
        <v>114</v>
      </c>
      <c r="AP13" s="40">
        <v>139</v>
      </c>
      <c r="AQ13" s="40">
        <v>76</v>
      </c>
      <c r="AS13" s="40">
        <v>246</v>
      </c>
      <c r="AT13" s="232"/>
      <c r="AU13" s="232"/>
      <c r="AV13" s="232"/>
    </row>
    <row r="14" spans="1:48" ht="15.75" customHeight="1" x14ac:dyDescent="0.25">
      <c r="A14" s="191" t="s">
        <v>604</v>
      </c>
      <c r="C14" s="40">
        <v>259</v>
      </c>
      <c r="D14" s="40">
        <v>134</v>
      </c>
      <c r="E14" s="40">
        <v>1</v>
      </c>
      <c r="F14" s="40">
        <v>1</v>
      </c>
      <c r="G14" s="40">
        <v>1</v>
      </c>
      <c r="I14" s="40">
        <v>239</v>
      </c>
      <c r="J14" s="40">
        <v>153</v>
      </c>
      <c r="L14" s="40">
        <v>244</v>
      </c>
      <c r="M14" s="40">
        <v>243</v>
      </c>
      <c r="N14" s="40">
        <v>142</v>
      </c>
      <c r="O14" s="40">
        <v>140</v>
      </c>
      <c r="Q14" s="40">
        <v>249</v>
      </c>
      <c r="R14" s="40">
        <v>135</v>
      </c>
      <c r="T14" s="40">
        <v>259</v>
      </c>
      <c r="U14" s="40">
        <v>118</v>
      </c>
      <c r="W14" s="40">
        <v>267</v>
      </c>
      <c r="X14" s="40">
        <v>111</v>
      </c>
      <c r="Z14" s="40">
        <v>237</v>
      </c>
      <c r="AA14" s="40">
        <v>143</v>
      </c>
      <c r="AC14" s="40"/>
      <c r="AD14" s="40"/>
      <c r="AF14" s="40">
        <v>209</v>
      </c>
      <c r="AG14" s="40">
        <v>216</v>
      </c>
      <c r="AI14" s="40">
        <v>227</v>
      </c>
      <c r="AJ14" s="40">
        <v>194</v>
      </c>
      <c r="AK14" s="40">
        <v>2</v>
      </c>
      <c r="AM14" s="40">
        <v>165</v>
      </c>
      <c r="AN14" s="40">
        <v>174</v>
      </c>
      <c r="AP14" s="40">
        <v>211</v>
      </c>
      <c r="AQ14" s="40">
        <v>115</v>
      </c>
      <c r="AS14" s="40">
        <v>400</v>
      </c>
      <c r="AT14" s="233"/>
      <c r="AU14" s="233"/>
      <c r="AV14" s="233"/>
    </row>
    <row r="15" spans="1:48" ht="15.75" customHeight="1" x14ac:dyDescent="0.25">
      <c r="A15" s="191" t="s">
        <v>605</v>
      </c>
      <c r="C15" s="40">
        <v>134</v>
      </c>
      <c r="D15" s="40">
        <v>126</v>
      </c>
      <c r="E15" s="40">
        <v>0</v>
      </c>
      <c r="F15" s="40">
        <v>0</v>
      </c>
      <c r="G15" s="40">
        <v>0</v>
      </c>
      <c r="I15" s="40">
        <v>127</v>
      </c>
      <c r="J15" s="40">
        <v>128</v>
      </c>
      <c r="L15" s="40">
        <v>126</v>
      </c>
      <c r="M15" s="40">
        <v>126</v>
      </c>
      <c r="N15" s="40">
        <v>127</v>
      </c>
      <c r="O15" s="40">
        <v>124</v>
      </c>
      <c r="Q15" s="40">
        <v>131</v>
      </c>
      <c r="R15" s="40">
        <v>118</v>
      </c>
      <c r="T15" s="40">
        <v>137</v>
      </c>
      <c r="U15" s="40">
        <v>115</v>
      </c>
      <c r="W15" s="40">
        <v>136</v>
      </c>
      <c r="X15" s="40">
        <v>117</v>
      </c>
      <c r="Z15" s="40"/>
      <c r="AA15" s="40"/>
      <c r="AC15" s="40">
        <v>156</v>
      </c>
      <c r="AD15" s="40"/>
      <c r="AF15" s="40">
        <v>133</v>
      </c>
      <c r="AG15" s="40">
        <v>135</v>
      </c>
      <c r="AI15" s="40">
        <v>148</v>
      </c>
      <c r="AJ15" s="40">
        <v>126</v>
      </c>
      <c r="AK15" s="40">
        <v>4</v>
      </c>
      <c r="AM15" s="40">
        <v>103</v>
      </c>
      <c r="AN15" s="40">
        <v>121</v>
      </c>
      <c r="AP15" s="40">
        <v>149</v>
      </c>
      <c r="AQ15" s="40">
        <v>68</v>
      </c>
      <c r="AS15" s="40">
        <v>261</v>
      </c>
      <c r="AT15" s="231">
        <v>73</v>
      </c>
      <c r="AU15" s="231">
        <v>296</v>
      </c>
      <c r="AV15" s="231">
        <f>1+26</f>
        <v>27</v>
      </c>
    </row>
    <row r="16" spans="1:48" ht="15.75" customHeight="1" x14ac:dyDescent="0.25">
      <c r="A16" s="191" t="s">
        <v>606</v>
      </c>
      <c r="C16" s="40">
        <v>147</v>
      </c>
      <c r="D16" s="40">
        <v>78</v>
      </c>
      <c r="E16" s="40">
        <v>0</v>
      </c>
      <c r="F16" s="40">
        <v>0</v>
      </c>
      <c r="G16" s="40">
        <v>0</v>
      </c>
      <c r="I16" s="40">
        <v>134</v>
      </c>
      <c r="J16" s="40">
        <v>85</v>
      </c>
      <c r="L16" s="40">
        <v>126</v>
      </c>
      <c r="M16" s="40">
        <v>135</v>
      </c>
      <c r="N16" s="40">
        <v>87</v>
      </c>
      <c r="O16" s="40">
        <v>78</v>
      </c>
      <c r="Q16" s="40">
        <v>138</v>
      </c>
      <c r="R16" s="40">
        <v>78</v>
      </c>
      <c r="T16" s="40">
        <v>144</v>
      </c>
      <c r="U16" s="40">
        <v>72</v>
      </c>
      <c r="W16" s="40">
        <v>155</v>
      </c>
      <c r="X16" s="40">
        <v>64</v>
      </c>
      <c r="Z16" s="40"/>
      <c r="AA16" s="40"/>
      <c r="AC16" s="40">
        <v>161</v>
      </c>
      <c r="AD16" s="40"/>
      <c r="AF16" s="40">
        <v>127</v>
      </c>
      <c r="AG16" s="40">
        <v>139</v>
      </c>
      <c r="AI16" s="40">
        <v>138</v>
      </c>
      <c r="AJ16" s="40">
        <v>127</v>
      </c>
      <c r="AK16" s="40">
        <v>1</v>
      </c>
      <c r="AM16" s="40">
        <v>83</v>
      </c>
      <c r="AN16" s="40">
        <v>119</v>
      </c>
      <c r="AP16" s="40">
        <v>122</v>
      </c>
      <c r="AQ16" s="40">
        <v>78</v>
      </c>
      <c r="AS16" s="40">
        <v>227</v>
      </c>
      <c r="AT16" s="232"/>
      <c r="AU16" s="232"/>
      <c r="AV16" s="232"/>
    </row>
    <row r="17" spans="1:48" ht="15.75" customHeight="1" x14ac:dyDescent="0.25">
      <c r="A17" s="191" t="s">
        <v>607</v>
      </c>
      <c r="C17" s="40">
        <v>155</v>
      </c>
      <c r="D17" s="40">
        <v>108</v>
      </c>
      <c r="E17" s="40">
        <v>2</v>
      </c>
      <c r="F17" s="40">
        <v>2</v>
      </c>
      <c r="G17" s="40">
        <v>0</v>
      </c>
      <c r="I17" s="40">
        <v>148</v>
      </c>
      <c r="J17" s="40">
        <v>113</v>
      </c>
      <c r="L17" s="40">
        <v>138</v>
      </c>
      <c r="M17" s="40">
        <v>144</v>
      </c>
      <c r="N17" s="40">
        <v>115</v>
      </c>
      <c r="O17" s="40">
        <v>114</v>
      </c>
      <c r="Q17" s="40">
        <v>151</v>
      </c>
      <c r="R17" s="40">
        <v>108</v>
      </c>
      <c r="T17" s="40">
        <v>154</v>
      </c>
      <c r="U17" s="40">
        <v>101</v>
      </c>
      <c r="W17" s="40">
        <v>156</v>
      </c>
      <c r="X17" s="40">
        <v>101</v>
      </c>
      <c r="Z17" s="40"/>
      <c r="AA17" s="40"/>
      <c r="AC17" s="40">
        <v>184</v>
      </c>
      <c r="AD17" s="40"/>
      <c r="AF17" s="40">
        <v>139</v>
      </c>
      <c r="AG17" s="40">
        <v>141</v>
      </c>
      <c r="AI17" s="40">
        <v>155</v>
      </c>
      <c r="AJ17" s="40">
        <v>133</v>
      </c>
      <c r="AK17" s="40">
        <v>1</v>
      </c>
      <c r="AM17" s="40">
        <v>107</v>
      </c>
      <c r="AN17" s="40">
        <v>129</v>
      </c>
      <c r="AP17" s="40">
        <v>141</v>
      </c>
      <c r="AQ17" s="40">
        <v>88</v>
      </c>
      <c r="AS17" s="40">
        <v>271</v>
      </c>
      <c r="AT17" s="232"/>
      <c r="AU17" s="232"/>
      <c r="AV17" s="232"/>
    </row>
    <row r="18" spans="1:48" ht="15.75" customHeight="1" x14ac:dyDescent="0.25">
      <c r="A18" s="191" t="s">
        <v>608</v>
      </c>
      <c r="C18" s="40">
        <v>263</v>
      </c>
      <c r="D18" s="40">
        <v>165</v>
      </c>
      <c r="E18" s="40">
        <v>4</v>
      </c>
      <c r="F18" s="40">
        <v>1</v>
      </c>
      <c r="G18" s="40">
        <v>0</v>
      </c>
      <c r="I18" s="40">
        <v>244</v>
      </c>
      <c r="J18" s="40">
        <v>181</v>
      </c>
      <c r="L18" s="40">
        <v>232</v>
      </c>
      <c r="M18" s="40">
        <v>237</v>
      </c>
      <c r="N18" s="40">
        <v>187</v>
      </c>
      <c r="O18" s="40">
        <v>172</v>
      </c>
      <c r="Q18" s="40">
        <v>250</v>
      </c>
      <c r="R18" s="40">
        <v>167</v>
      </c>
      <c r="T18" s="40">
        <v>260</v>
      </c>
      <c r="U18" s="40">
        <v>154</v>
      </c>
      <c r="W18" s="40">
        <v>258</v>
      </c>
      <c r="X18" s="40">
        <v>162</v>
      </c>
      <c r="Z18" s="40"/>
      <c r="AA18" s="40"/>
      <c r="AC18" s="40">
        <v>300</v>
      </c>
      <c r="AD18" s="40"/>
      <c r="AF18" s="40">
        <v>246</v>
      </c>
      <c r="AG18" s="40">
        <v>239</v>
      </c>
      <c r="AI18" s="40">
        <v>257</v>
      </c>
      <c r="AJ18" s="40">
        <v>207</v>
      </c>
      <c r="AK18" s="40">
        <v>2</v>
      </c>
      <c r="AM18" s="40">
        <v>190</v>
      </c>
      <c r="AN18" s="40">
        <v>189</v>
      </c>
      <c r="AP18" s="40">
        <v>241</v>
      </c>
      <c r="AQ18" s="40">
        <v>134</v>
      </c>
      <c r="AS18" s="40">
        <v>440</v>
      </c>
      <c r="AT18" s="233"/>
      <c r="AU18" s="233"/>
      <c r="AV18" s="233"/>
    </row>
    <row r="19" spans="1:48" ht="15.75" thickBot="1" x14ac:dyDescent="0.3"/>
    <row r="20" spans="1:48" ht="15.75" thickBot="1" x14ac:dyDescent="0.3">
      <c r="A20" s="50" t="s">
        <v>8</v>
      </c>
      <c r="B20" s="192"/>
      <c r="C20" s="51">
        <f>+SUM(C11:C18)</f>
        <v>1636</v>
      </c>
      <c r="D20" s="51">
        <f t="shared" ref="D20:AQ20" si="0">+SUM(D11:D18)</f>
        <v>1006</v>
      </c>
      <c r="E20" s="51">
        <f t="shared" si="0"/>
        <v>11</v>
      </c>
      <c r="F20" s="51">
        <f t="shared" ref="F20:O20" si="1">+SUM(F11:F18)</f>
        <v>6</v>
      </c>
      <c r="G20" s="51">
        <f t="shared" si="1"/>
        <v>2</v>
      </c>
      <c r="I20" s="51">
        <f t="shared" si="1"/>
        <v>1549</v>
      </c>
      <c r="J20" s="51">
        <f t="shared" si="1"/>
        <v>1065</v>
      </c>
      <c r="L20" s="51">
        <f t="shared" si="1"/>
        <v>1505</v>
      </c>
      <c r="M20" s="51">
        <f t="shared" si="1"/>
        <v>1531</v>
      </c>
      <c r="N20" s="51">
        <f t="shared" si="1"/>
        <v>1068</v>
      </c>
      <c r="O20" s="51">
        <f t="shared" si="1"/>
        <v>1015</v>
      </c>
      <c r="Q20" s="51">
        <f t="shared" si="0"/>
        <v>1597</v>
      </c>
      <c r="R20" s="51">
        <f t="shared" si="0"/>
        <v>970</v>
      </c>
      <c r="T20" s="51">
        <f t="shared" si="0"/>
        <v>1664</v>
      </c>
      <c r="U20" s="51">
        <f t="shared" si="0"/>
        <v>891</v>
      </c>
      <c r="W20" s="51">
        <f t="shared" si="0"/>
        <v>1684</v>
      </c>
      <c r="X20" s="51">
        <f t="shared" si="0"/>
        <v>892</v>
      </c>
      <c r="Z20" s="51">
        <f t="shared" si="0"/>
        <v>880</v>
      </c>
      <c r="AA20" s="51">
        <f t="shared" si="0"/>
        <v>551</v>
      </c>
      <c r="AC20" s="51">
        <f t="shared" ref="AC20:AD20" si="2">+SUM(AC11:AC18)</f>
        <v>801</v>
      </c>
      <c r="AD20" s="51">
        <f t="shared" si="2"/>
        <v>0</v>
      </c>
      <c r="AF20" s="51">
        <f t="shared" si="0"/>
        <v>1419</v>
      </c>
      <c r="AG20" s="51">
        <f t="shared" si="0"/>
        <v>1450</v>
      </c>
      <c r="AI20" s="51">
        <f t="shared" si="0"/>
        <v>1538</v>
      </c>
      <c r="AJ20" s="51">
        <f t="shared" si="0"/>
        <v>1292</v>
      </c>
      <c r="AK20" s="51">
        <f t="shared" si="0"/>
        <v>15</v>
      </c>
      <c r="AM20" s="51">
        <f t="shared" si="0"/>
        <v>1112</v>
      </c>
      <c r="AN20" s="51">
        <f t="shared" si="0"/>
        <v>1227</v>
      </c>
      <c r="AP20" s="51">
        <f t="shared" si="0"/>
        <v>1487</v>
      </c>
      <c r="AQ20" s="51">
        <f t="shared" si="0"/>
        <v>795</v>
      </c>
      <c r="AS20" s="51">
        <f t="shared" ref="AS20:AV20" si="3">+SUM(AS11:AS18)</f>
        <v>2688</v>
      </c>
      <c r="AT20" s="51">
        <f t="shared" si="3"/>
        <v>185</v>
      </c>
      <c r="AU20" s="51">
        <f t="shared" si="3"/>
        <v>567</v>
      </c>
      <c r="AV20" s="51">
        <f t="shared" si="3"/>
        <v>57</v>
      </c>
    </row>
    <row r="21" spans="1:48" x14ac:dyDescent="0.25">
      <c r="A21" s="92" t="s">
        <v>146</v>
      </c>
      <c r="B21" s="192"/>
      <c r="C21" s="53">
        <f>66+35</f>
        <v>101</v>
      </c>
      <c r="D21" s="53">
        <f>46+37</f>
        <v>83</v>
      </c>
      <c r="E21" s="53">
        <v>0</v>
      </c>
      <c r="F21" s="53">
        <v>1</v>
      </c>
      <c r="G21" s="53">
        <v>0</v>
      </c>
      <c r="I21" s="53">
        <f>62+35</f>
        <v>97</v>
      </c>
      <c r="J21" s="53">
        <f>49+37</f>
        <v>86</v>
      </c>
      <c r="L21" s="53">
        <f>65+35</f>
        <v>100</v>
      </c>
      <c r="M21" s="53">
        <f>63+38</f>
        <v>101</v>
      </c>
      <c r="N21" s="53">
        <f>41+37</f>
        <v>78</v>
      </c>
      <c r="O21" s="53">
        <f>47+33</f>
        <v>80</v>
      </c>
      <c r="Q21" s="53">
        <f>62+35</f>
        <v>97</v>
      </c>
      <c r="R21" s="53">
        <f>46+36</f>
        <v>82</v>
      </c>
      <c r="T21" s="53">
        <f>66+38</f>
        <v>104</v>
      </c>
      <c r="U21" s="53">
        <f>43+33</f>
        <v>76</v>
      </c>
      <c r="W21" s="53">
        <f>70+39</f>
        <v>109</v>
      </c>
      <c r="X21" s="53">
        <f>42+33</f>
        <v>75</v>
      </c>
      <c r="Z21" s="53">
        <v>60</v>
      </c>
      <c r="AA21" s="53">
        <f>46</f>
        <v>46</v>
      </c>
      <c r="AC21" s="53">
        <v>46</v>
      </c>
      <c r="AD21" s="53"/>
      <c r="AF21" s="53">
        <f>64+38</f>
        <v>102</v>
      </c>
      <c r="AG21" s="53">
        <f>69+38</f>
        <v>107</v>
      </c>
      <c r="AI21" s="53">
        <f>68+39</f>
        <v>107</v>
      </c>
      <c r="AJ21" s="53">
        <f>62+39</f>
        <v>101</v>
      </c>
      <c r="AK21" s="53">
        <v>1</v>
      </c>
      <c r="AM21" s="53">
        <f>40+29</f>
        <v>69</v>
      </c>
      <c r="AN21" s="53">
        <f>66+41</f>
        <v>107</v>
      </c>
      <c r="AP21" s="53">
        <f>73+45</f>
        <v>118</v>
      </c>
      <c r="AQ21" s="53">
        <f>33+24</f>
        <v>57</v>
      </c>
      <c r="AS21" s="93"/>
      <c r="AT21" s="93"/>
      <c r="AU21" s="93"/>
      <c r="AV21" s="93"/>
    </row>
    <row r="22" spans="1:48" x14ac:dyDescent="0.25">
      <c r="A22" s="92" t="s">
        <v>43</v>
      </c>
      <c r="B22" s="192"/>
      <c r="C22" s="41">
        <v>143</v>
      </c>
      <c r="D22" s="41">
        <v>402</v>
      </c>
      <c r="E22" s="41">
        <v>3</v>
      </c>
      <c r="F22" s="41">
        <v>3</v>
      </c>
      <c r="G22" s="41">
        <v>0</v>
      </c>
      <c r="I22" s="41">
        <v>140</v>
      </c>
      <c r="J22" s="41">
        <v>415</v>
      </c>
      <c r="L22" s="41">
        <v>139</v>
      </c>
      <c r="M22" s="41">
        <v>142</v>
      </c>
      <c r="N22" s="41">
        <v>410</v>
      </c>
      <c r="O22" s="41">
        <v>406</v>
      </c>
      <c r="Q22" s="41">
        <v>136</v>
      </c>
      <c r="R22" s="41">
        <v>410</v>
      </c>
      <c r="T22" s="41">
        <v>159</v>
      </c>
      <c r="U22" s="41">
        <v>390</v>
      </c>
      <c r="W22" s="41">
        <v>178</v>
      </c>
      <c r="X22" s="41">
        <v>375</v>
      </c>
      <c r="Z22" s="41">
        <v>78</v>
      </c>
      <c r="AA22" s="41">
        <v>186</v>
      </c>
      <c r="AC22" s="41">
        <v>98</v>
      </c>
      <c r="AD22" s="41"/>
      <c r="AF22" s="41">
        <v>371</v>
      </c>
      <c r="AG22" s="41">
        <v>364</v>
      </c>
      <c r="AI22" s="41">
        <v>366</v>
      </c>
      <c r="AJ22" s="41">
        <v>369</v>
      </c>
      <c r="AK22" s="41">
        <v>0</v>
      </c>
      <c r="AM22" s="41">
        <v>207</v>
      </c>
      <c r="AN22" s="41">
        <v>324</v>
      </c>
      <c r="AP22" s="41">
        <v>335</v>
      </c>
      <c r="AQ22" s="41">
        <v>191</v>
      </c>
      <c r="AS22" s="93"/>
      <c r="AT22" s="93"/>
      <c r="AU22" s="93"/>
      <c r="AV22" s="93"/>
    </row>
    <row r="23" spans="1:48" x14ac:dyDescent="0.25">
      <c r="A23" s="94" t="s">
        <v>644</v>
      </c>
      <c r="B23" s="192"/>
      <c r="C23" s="95">
        <v>2</v>
      </c>
      <c r="D23" s="95">
        <v>1</v>
      </c>
      <c r="E23" s="95">
        <v>0</v>
      </c>
      <c r="F23" s="95">
        <v>0</v>
      </c>
      <c r="G23" s="95">
        <v>0</v>
      </c>
      <c r="I23" s="95">
        <v>2</v>
      </c>
      <c r="J23" s="95">
        <v>1</v>
      </c>
      <c r="L23" s="95">
        <v>1</v>
      </c>
      <c r="M23" s="95">
        <v>1</v>
      </c>
      <c r="N23" s="95">
        <v>1</v>
      </c>
      <c r="O23" s="95">
        <v>1</v>
      </c>
      <c r="Q23" s="95">
        <v>1</v>
      </c>
      <c r="R23" s="95">
        <v>1</v>
      </c>
      <c r="T23" s="95">
        <v>1</v>
      </c>
      <c r="U23" s="95">
        <v>1</v>
      </c>
      <c r="W23" s="95">
        <v>1</v>
      </c>
      <c r="X23" s="95">
        <v>1</v>
      </c>
      <c r="Z23" s="95">
        <v>1</v>
      </c>
      <c r="AA23" s="95">
        <v>1</v>
      </c>
      <c r="AC23" s="95">
        <v>1</v>
      </c>
      <c r="AD23" s="95"/>
      <c r="AF23" s="95">
        <v>1</v>
      </c>
      <c r="AG23" s="95">
        <v>1</v>
      </c>
      <c r="AI23" s="95">
        <v>1</v>
      </c>
      <c r="AJ23" s="95">
        <v>1</v>
      </c>
      <c r="AK23" s="95">
        <v>0</v>
      </c>
      <c r="AM23" s="95">
        <v>1</v>
      </c>
      <c r="AN23" s="95">
        <v>2</v>
      </c>
      <c r="AP23" s="95">
        <v>1</v>
      </c>
      <c r="AQ23" s="95">
        <v>2</v>
      </c>
      <c r="AS23" s="93"/>
      <c r="AT23" s="93"/>
      <c r="AU23" s="93"/>
      <c r="AV23" s="93"/>
    </row>
    <row r="24" spans="1:48" x14ac:dyDescent="0.25">
      <c r="A24" s="94" t="s">
        <v>645</v>
      </c>
      <c r="B24" s="192"/>
      <c r="C24" s="95">
        <v>26</v>
      </c>
      <c r="D24" s="95">
        <v>26</v>
      </c>
      <c r="E24" s="95">
        <v>0</v>
      </c>
      <c r="F24" s="95">
        <v>0</v>
      </c>
      <c r="G24" s="95">
        <v>0</v>
      </c>
      <c r="I24" s="95">
        <v>25</v>
      </c>
      <c r="J24" s="95">
        <v>29</v>
      </c>
      <c r="L24" s="95">
        <v>25</v>
      </c>
      <c r="M24" s="95">
        <v>25</v>
      </c>
      <c r="N24" s="95">
        <v>27</v>
      </c>
      <c r="O24" s="95">
        <v>27</v>
      </c>
      <c r="Q24" s="95">
        <v>26</v>
      </c>
      <c r="R24" s="95">
        <v>27</v>
      </c>
      <c r="T24" s="95">
        <v>28</v>
      </c>
      <c r="U24" s="95">
        <v>25</v>
      </c>
      <c r="W24" s="95">
        <v>27</v>
      </c>
      <c r="X24" s="95">
        <v>27</v>
      </c>
      <c r="Z24" s="95">
        <v>17</v>
      </c>
      <c r="AA24" s="95">
        <v>10</v>
      </c>
      <c r="AC24" s="95">
        <v>12</v>
      </c>
      <c r="AD24" s="95"/>
      <c r="AF24" s="95">
        <v>32</v>
      </c>
      <c r="AG24" s="95">
        <v>32</v>
      </c>
      <c r="AI24" s="95">
        <v>31</v>
      </c>
      <c r="AJ24" s="95">
        <v>31</v>
      </c>
      <c r="AK24" s="95">
        <v>0</v>
      </c>
      <c r="AM24" s="95">
        <v>25</v>
      </c>
      <c r="AN24" s="95">
        <v>21</v>
      </c>
      <c r="AP24" s="95">
        <v>33</v>
      </c>
      <c r="AQ24" s="95">
        <v>13</v>
      </c>
      <c r="AS24" s="93"/>
      <c r="AT24" s="93"/>
      <c r="AU24" s="93"/>
      <c r="AV24" s="93"/>
    </row>
    <row r="25" spans="1:48" ht="15.75" thickBot="1" x14ac:dyDescent="0.3">
      <c r="A25" s="94" t="s">
        <v>651</v>
      </c>
      <c r="B25" s="192"/>
      <c r="C25" s="95">
        <f>3+2</f>
        <v>5</v>
      </c>
      <c r="D25" s="95">
        <f>2</f>
        <v>2</v>
      </c>
      <c r="E25" s="95">
        <v>0</v>
      </c>
      <c r="F25" s="95">
        <v>0</v>
      </c>
      <c r="G25" s="95">
        <v>0</v>
      </c>
      <c r="I25" s="95">
        <f>3+3</f>
        <v>6</v>
      </c>
      <c r="J25" s="95">
        <v>2</v>
      </c>
      <c r="L25" s="95">
        <f>3+3</f>
        <v>6</v>
      </c>
      <c r="M25" s="95">
        <f>3+3</f>
        <v>6</v>
      </c>
      <c r="N25" s="95">
        <f>2</f>
        <v>2</v>
      </c>
      <c r="O25" s="95">
        <f>2</f>
        <v>2</v>
      </c>
      <c r="Q25" s="95">
        <f>3+2</f>
        <v>5</v>
      </c>
      <c r="R25" s="95">
        <f>2+1</f>
        <v>3</v>
      </c>
      <c r="T25" s="95">
        <f>3+2</f>
        <v>5</v>
      </c>
      <c r="U25" s="95">
        <f>2+1</f>
        <v>3</v>
      </c>
      <c r="W25" s="95">
        <f>3+2</f>
        <v>5</v>
      </c>
      <c r="X25" s="95">
        <f>2</f>
        <v>2</v>
      </c>
      <c r="Z25" s="95">
        <f>2</f>
        <v>2</v>
      </c>
      <c r="AA25" s="95">
        <v>0</v>
      </c>
      <c r="AC25" s="95">
        <f>1</f>
        <v>1</v>
      </c>
      <c r="AD25" s="95"/>
      <c r="AF25" s="95">
        <f>1+2</f>
        <v>3</v>
      </c>
      <c r="AG25" s="95">
        <f>1+1</f>
        <v>2</v>
      </c>
      <c r="AI25" s="95">
        <f>3+2</f>
        <v>5</v>
      </c>
      <c r="AJ25" s="95">
        <f>2+1</f>
        <v>3</v>
      </c>
      <c r="AK25" s="95">
        <v>0</v>
      </c>
      <c r="AM25" s="95">
        <f>1</f>
        <v>1</v>
      </c>
      <c r="AN25" s="95">
        <f>1+2</f>
        <v>3</v>
      </c>
      <c r="AP25" s="95">
        <f>2+1</f>
        <v>3</v>
      </c>
      <c r="AQ25" s="95">
        <f>1+2</f>
        <v>3</v>
      </c>
      <c r="AS25" s="93"/>
      <c r="AT25" s="93"/>
      <c r="AU25" s="93"/>
      <c r="AV25" s="93"/>
    </row>
    <row r="26" spans="1:48" ht="15.75" thickBot="1" x14ac:dyDescent="0.3">
      <c r="A26" s="50" t="s">
        <v>45</v>
      </c>
      <c r="B26" s="192"/>
      <c r="C26" s="51">
        <f>+SUM(C20:C25)</f>
        <v>1913</v>
      </c>
      <c r="D26" s="51">
        <f t="shared" ref="D26:G26" si="4">+SUM(D20:D25)</f>
        <v>1520</v>
      </c>
      <c r="E26" s="51">
        <f t="shared" si="4"/>
        <v>14</v>
      </c>
      <c r="F26" s="51">
        <f t="shared" si="4"/>
        <v>10</v>
      </c>
      <c r="G26" s="51">
        <f t="shared" si="4"/>
        <v>2</v>
      </c>
      <c r="I26" s="51">
        <f t="shared" ref="I26:J26" si="5">+SUM(I20:I25)</f>
        <v>1819</v>
      </c>
      <c r="J26" s="51">
        <f t="shared" si="5"/>
        <v>1598</v>
      </c>
      <c r="L26" s="51">
        <f t="shared" ref="L26:O26" si="6">+SUM(L20:L25)</f>
        <v>1776</v>
      </c>
      <c r="M26" s="51">
        <f t="shared" si="6"/>
        <v>1806</v>
      </c>
      <c r="N26" s="51">
        <f t="shared" si="6"/>
        <v>1586</v>
      </c>
      <c r="O26" s="51">
        <f t="shared" si="6"/>
        <v>1531</v>
      </c>
      <c r="Q26" s="51">
        <f t="shared" ref="Q26:R26" si="7">+SUM(Q20:Q25)</f>
        <v>1862</v>
      </c>
      <c r="R26" s="51">
        <f t="shared" si="7"/>
        <v>1493</v>
      </c>
      <c r="T26" s="51">
        <f t="shared" ref="T26:U26" si="8">+SUM(T20:T25)</f>
        <v>1961</v>
      </c>
      <c r="U26" s="51">
        <f t="shared" si="8"/>
        <v>1386</v>
      </c>
      <c r="W26" s="51">
        <f t="shared" ref="W26:X26" si="9">+SUM(W20:W25)</f>
        <v>2004</v>
      </c>
      <c r="X26" s="51">
        <f t="shared" si="9"/>
        <v>1372</v>
      </c>
      <c r="Z26" s="51">
        <f t="shared" ref="Z26:AA26" si="10">+SUM(Z20:Z25)</f>
        <v>1038</v>
      </c>
      <c r="AA26" s="51">
        <f t="shared" si="10"/>
        <v>794</v>
      </c>
      <c r="AC26" s="51">
        <f t="shared" ref="AC26:AD26" si="11">+SUM(AC20:AC25)</f>
        <v>959</v>
      </c>
      <c r="AD26" s="51">
        <f t="shared" si="11"/>
        <v>0</v>
      </c>
      <c r="AF26" s="51">
        <f t="shared" ref="AF26:AG26" si="12">+SUM(AF20:AF25)</f>
        <v>1928</v>
      </c>
      <c r="AG26" s="51">
        <f t="shared" si="12"/>
        <v>1956</v>
      </c>
      <c r="AI26" s="51">
        <f t="shared" ref="AI26:AK26" si="13">+SUM(AI20:AI25)</f>
        <v>2048</v>
      </c>
      <c r="AJ26" s="51">
        <f t="shared" si="13"/>
        <v>1797</v>
      </c>
      <c r="AK26" s="51">
        <f t="shared" si="13"/>
        <v>16</v>
      </c>
      <c r="AM26" s="51">
        <f t="shared" ref="AM26:AN26" si="14">+SUM(AM20:AM25)</f>
        <v>1415</v>
      </c>
      <c r="AN26" s="51">
        <f t="shared" si="14"/>
        <v>1684</v>
      </c>
      <c r="AP26" s="51">
        <f t="shared" ref="AP26:AQ26" si="15">+SUM(AP20:AP25)</f>
        <v>1977</v>
      </c>
      <c r="AQ26" s="51">
        <f t="shared" si="15"/>
        <v>1061</v>
      </c>
      <c r="AS26" s="96"/>
      <c r="AT26" s="96"/>
      <c r="AU26" s="96"/>
      <c r="AV26" s="96"/>
    </row>
  </sheetData>
  <mergeCells count="30">
    <mergeCell ref="AF1:AG1"/>
    <mergeCell ref="Z3:AA3"/>
    <mergeCell ref="Z2:AA2"/>
    <mergeCell ref="AC2:AD2"/>
    <mergeCell ref="AC3:AD3"/>
    <mergeCell ref="AF2:AG2"/>
    <mergeCell ref="AF3:AG3"/>
    <mergeCell ref="AI2:AK2"/>
    <mergeCell ref="AI3:AK4"/>
    <mergeCell ref="C2:G2"/>
    <mergeCell ref="I2:O2"/>
    <mergeCell ref="C3:G3"/>
    <mergeCell ref="I3:J3"/>
    <mergeCell ref="L3:O3"/>
    <mergeCell ref="AV15:AV18"/>
    <mergeCell ref="AV11:AV14"/>
    <mergeCell ref="Q3:R3"/>
    <mergeCell ref="AU15:AU18"/>
    <mergeCell ref="AU11:AU14"/>
    <mergeCell ref="AT15:AT18"/>
    <mergeCell ref="AT11:AT14"/>
    <mergeCell ref="AS2:AV3"/>
    <mergeCell ref="T3:U3"/>
    <mergeCell ref="W3:X3"/>
    <mergeCell ref="AM3:AN3"/>
    <mergeCell ref="AP3:AQ3"/>
    <mergeCell ref="AM6:AM8"/>
    <mergeCell ref="AN6:AN8"/>
    <mergeCell ref="AP6:AP8"/>
    <mergeCell ref="AQ6:AQ8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3"/>
  <sheetViews>
    <sheetView zoomScale="75" zoomScaleNormal="75" workbookViewId="0"/>
  </sheetViews>
  <sheetFormatPr defaultRowHeight="15" x14ac:dyDescent="0.25"/>
  <cols>
    <col min="1" max="1" width="22.7109375" style="191" customWidth="1"/>
    <col min="2" max="2" width="1.7109375" style="191" customWidth="1"/>
    <col min="3" max="6" width="14" style="191" customWidth="1"/>
    <col min="7" max="7" width="15.28515625" style="191" customWidth="1"/>
    <col min="8" max="8" width="1.7109375" style="191" customWidth="1"/>
    <col min="9" max="10" width="14" style="191" customWidth="1"/>
    <col min="11" max="11" width="1.7109375" style="191" customWidth="1"/>
    <col min="12" max="15" width="14" style="191" customWidth="1"/>
    <col min="16" max="16" width="1.7109375" style="191" customWidth="1"/>
    <col min="17" max="18" width="14" style="191" customWidth="1"/>
    <col min="19" max="19" width="1.7109375" style="191" customWidth="1"/>
    <col min="20" max="21" width="14" style="191" customWidth="1"/>
    <col min="22" max="22" width="1.7109375" style="191" customWidth="1"/>
    <col min="23" max="24" width="14" style="191" customWidth="1"/>
    <col min="25" max="25" width="1.7109375" style="191" customWidth="1"/>
    <col min="26" max="27" width="9.7109375" style="191" customWidth="1"/>
    <col min="28" max="28" width="1.7109375" style="191" customWidth="1"/>
    <col min="29" max="30" width="9.7109375" style="191" customWidth="1"/>
    <col min="31" max="31" width="1.7109375" style="191" customWidth="1"/>
    <col min="32" max="32" width="9.7109375" style="191" customWidth="1"/>
    <col min="33" max="34" width="9.5703125" style="191" customWidth="1"/>
    <col min="35" max="35" width="9.7109375" style="191" customWidth="1"/>
    <col min="36" max="55" width="13.42578125" style="191" customWidth="1"/>
    <col min="56" max="16384" width="9.140625" style="191"/>
  </cols>
  <sheetData>
    <row r="2" spans="1:35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112"/>
      <c r="X2" s="113"/>
      <c r="Z2" s="80"/>
      <c r="AA2" s="81"/>
      <c r="AC2" s="80"/>
      <c r="AD2" s="81"/>
      <c r="AF2" s="234" t="s">
        <v>5</v>
      </c>
      <c r="AG2" s="235"/>
      <c r="AH2" s="235"/>
      <c r="AI2" s="236"/>
    </row>
    <row r="3" spans="1:35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123</v>
      </c>
      <c r="X3" s="223"/>
      <c r="Z3" s="222" t="s">
        <v>126</v>
      </c>
      <c r="AA3" s="223"/>
      <c r="AC3" s="222" t="s">
        <v>127</v>
      </c>
      <c r="AD3" s="223"/>
      <c r="AF3" s="219"/>
      <c r="AG3" s="220"/>
      <c r="AH3" s="220"/>
      <c r="AI3" s="221"/>
    </row>
    <row r="4" spans="1:35" ht="5.0999999999999996" customHeight="1" thickBot="1" x14ac:dyDescent="0.3">
      <c r="C4" s="186"/>
      <c r="D4" s="187"/>
      <c r="E4" s="187"/>
      <c r="F4" s="187"/>
      <c r="G4" s="188"/>
      <c r="I4" s="186"/>
      <c r="J4" s="187"/>
      <c r="K4" s="140"/>
      <c r="L4" s="68"/>
      <c r="M4" s="68"/>
      <c r="N4" s="68"/>
      <c r="O4" s="69"/>
      <c r="Q4" s="82"/>
      <c r="R4" s="83"/>
      <c r="T4" s="82"/>
      <c r="U4" s="83"/>
      <c r="W4" s="114"/>
      <c r="X4" s="74"/>
      <c r="Z4" s="75"/>
      <c r="AA4" s="74"/>
      <c r="AC4" s="75"/>
      <c r="AD4" s="74"/>
      <c r="AF4" s="204"/>
      <c r="AG4" s="205"/>
      <c r="AH4" s="205"/>
      <c r="AI4" s="206"/>
    </row>
    <row r="5" spans="1:35" x14ac:dyDescent="0.25">
      <c r="C5" s="5"/>
      <c r="D5" s="8"/>
      <c r="E5" s="8"/>
      <c r="F5" s="8"/>
      <c r="G5" s="6"/>
      <c r="I5" s="5"/>
      <c r="J5" s="6"/>
      <c r="L5" s="89"/>
      <c r="M5" s="98"/>
      <c r="N5" s="98"/>
      <c r="O5" s="6"/>
      <c r="Q5" s="5"/>
      <c r="R5" s="6"/>
      <c r="T5" s="5"/>
      <c r="U5" s="6"/>
      <c r="W5" s="10"/>
      <c r="X5" s="97"/>
      <c r="Z5" s="10"/>
      <c r="AA5" s="12"/>
      <c r="AB5" s="132"/>
      <c r="AC5" s="10"/>
      <c r="AD5" s="12"/>
      <c r="AF5" s="157"/>
      <c r="AG5" s="158"/>
      <c r="AH5" s="158"/>
      <c r="AI5" s="159"/>
    </row>
    <row r="6" spans="1:35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20" t="str">
        <f>+'Lead Sheet'!S6</f>
        <v>Vince</v>
      </c>
      <c r="J6" s="21" t="str">
        <f>+'Lead Sheet'!T6</f>
        <v>Vince</v>
      </c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Q6" s="20" t="str">
        <f>+'Lead Sheet'!AR6</f>
        <v>Joseph J.</v>
      </c>
      <c r="R6" s="21" t="str">
        <f>+'Lead Sheet'!AS6</f>
        <v>Lisa</v>
      </c>
      <c r="T6" s="20" t="str">
        <f>+'Lead Sheet'!AU6</f>
        <v>Frank X.</v>
      </c>
      <c r="U6" s="21" t="str">
        <f>+'Lead Sheet'!AV6</f>
        <v>Celeste</v>
      </c>
      <c r="W6" s="20" t="str">
        <f>+'Lead Sheet'!AX6</f>
        <v>Maureen</v>
      </c>
      <c r="X6" s="21" t="str">
        <f>+'Lead Sheet'!AY6</f>
        <v>Jelani</v>
      </c>
      <c r="Z6" s="229" t="s">
        <v>9</v>
      </c>
      <c r="AA6" s="230" t="s">
        <v>10</v>
      </c>
      <c r="AB6" s="132"/>
      <c r="AC6" s="229" t="s">
        <v>9</v>
      </c>
      <c r="AD6" s="230" t="s">
        <v>10</v>
      </c>
      <c r="AF6" s="160" t="s">
        <v>8</v>
      </c>
      <c r="AG6" s="161" t="s">
        <v>8</v>
      </c>
      <c r="AH6" s="161" t="s">
        <v>8</v>
      </c>
      <c r="AI6" s="162" t="s">
        <v>8</v>
      </c>
    </row>
    <row r="7" spans="1:35" ht="15" customHeight="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20" t="str">
        <f>+'Lead Sheet'!S7</f>
        <v>POLISTINA</v>
      </c>
      <c r="J7" s="21" t="str">
        <f>+'Lead Sheet'!T7</f>
        <v>MAZZEO</v>
      </c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Q7" s="20" t="str">
        <f>+'Lead Sheet'!AR7</f>
        <v>GIRALO</v>
      </c>
      <c r="R7" s="21" t="str">
        <f>+'Lead Sheet'!AS7</f>
        <v>JIAMPETTI</v>
      </c>
      <c r="T7" s="20" t="str">
        <f>+'Lead Sheet'!AU7</f>
        <v>BALLES</v>
      </c>
      <c r="U7" s="21" t="str">
        <f>+'Lead Sheet'!AV7</f>
        <v>FERNANDEZ</v>
      </c>
      <c r="W7" s="20" t="str">
        <f>+'Lead Sheet'!AX7</f>
        <v>KERN</v>
      </c>
      <c r="X7" s="21" t="str">
        <f>+'Lead Sheet'!AY7</f>
        <v>GANDY</v>
      </c>
      <c r="Z7" s="229"/>
      <c r="AA7" s="230"/>
      <c r="AB7" s="132"/>
      <c r="AC7" s="229"/>
      <c r="AD7" s="230"/>
      <c r="AF7" s="160" t="s">
        <v>12</v>
      </c>
      <c r="AG7" s="161" t="s">
        <v>144</v>
      </c>
      <c r="AH7" s="161" t="s">
        <v>13</v>
      </c>
      <c r="AI7" s="162" t="s">
        <v>14</v>
      </c>
    </row>
    <row r="8" spans="1:35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20" t="str">
        <f>+'Lead Sheet'!S8</f>
        <v>Republican</v>
      </c>
      <c r="J8" s="21" t="str">
        <f>+'Lead Sheet'!T8</f>
        <v>Democrat</v>
      </c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Q8" s="20" t="str">
        <f>+'Lead Sheet'!AR8</f>
        <v>Republican</v>
      </c>
      <c r="R8" s="21" t="str">
        <f>+'Lead Sheet'!AS8</f>
        <v>Democrat</v>
      </c>
      <c r="T8" s="20" t="str">
        <f>+'Lead Sheet'!AU8</f>
        <v>Republican</v>
      </c>
      <c r="U8" s="21" t="str">
        <f>+'Lead Sheet'!AV8</f>
        <v>Democrat</v>
      </c>
      <c r="W8" s="20" t="str">
        <f>+'Lead Sheet'!AX8</f>
        <v>Republican</v>
      </c>
      <c r="X8" s="21" t="str">
        <f>+'Lead Sheet'!AY8</f>
        <v>Democrat</v>
      </c>
      <c r="Z8" s="229"/>
      <c r="AA8" s="230"/>
      <c r="AB8" s="132"/>
      <c r="AC8" s="229"/>
      <c r="AD8" s="230"/>
      <c r="AF8" s="160" t="s">
        <v>18</v>
      </c>
      <c r="AG8" s="161" t="s">
        <v>145</v>
      </c>
      <c r="AH8" s="161" t="s">
        <v>19</v>
      </c>
      <c r="AI8" s="162" t="s">
        <v>18</v>
      </c>
    </row>
    <row r="9" spans="1:35" x14ac:dyDescent="0.25">
      <c r="C9" s="60"/>
      <c r="D9" s="31"/>
      <c r="E9" s="31"/>
      <c r="F9" s="31"/>
      <c r="G9" s="61" t="str">
        <f>+'Lead Sheet'!G9</f>
        <v>Party</v>
      </c>
      <c r="I9" s="20"/>
      <c r="J9" s="21"/>
      <c r="L9" s="20"/>
      <c r="M9" s="7"/>
      <c r="N9" s="7"/>
      <c r="O9" s="21"/>
      <c r="Q9" s="20"/>
      <c r="R9" s="21"/>
      <c r="T9" s="20"/>
      <c r="U9" s="21"/>
      <c r="W9" s="20"/>
      <c r="X9" s="21"/>
      <c r="Z9" s="27"/>
      <c r="AA9" s="28"/>
      <c r="AB9" s="132"/>
      <c r="AC9" s="27"/>
      <c r="AD9" s="28"/>
      <c r="AF9" s="164"/>
      <c r="AG9" s="163"/>
      <c r="AH9" s="163"/>
      <c r="AI9" s="165"/>
    </row>
    <row r="10" spans="1:35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33"/>
      <c r="X10" s="35"/>
      <c r="Z10" s="33"/>
      <c r="AA10" s="35"/>
      <c r="AC10" s="33"/>
      <c r="AD10" s="35"/>
      <c r="AF10" s="166"/>
      <c r="AG10" s="167"/>
      <c r="AH10" s="167"/>
      <c r="AI10" s="168"/>
    </row>
    <row r="11" spans="1:35" x14ac:dyDescent="0.25">
      <c r="A11" s="191" t="s">
        <v>624</v>
      </c>
      <c r="C11" s="59">
        <v>232</v>
      </c>
      <c r="D11" s="59">
        <v>195</v>
      </c>
      <c r="E11" s="59">
        <v>0</v>
      </c>
      <c r="F11" s="59">
        <v>2</v>
      </c>
      <c r="G11" s="59">
        <v>0</v>
      </c>
      <c r="I11" s="59">
        <v>221</v>
      </c>
      <c r="J11" s="59">
        <v>190</v>
      </c>
      <c r="L11" s="59">
        <v>242</v>
      </c>
      <c r="M11" s="59">
        <v>232</v>
      </c>
      <c r="N11" s="59">
        <v>170</v>
      </c>
      <c r="O11" s="59">
        <v>172</v>
      </c>
      <c r="Q11" s="59">
        <v>228</v>
      </c>
      <c r="R11" s="59">
        <v>181</v>
      </c>
      <c r="T11" s="59">
        <v>237</v>
      </c>
      <c r="U11" s="59">
        <v>171</v>
      </c>
      <c r="W11" s="59">
        <v>238</v>
      </c>
      <c r="X11" s="59">
        <v>170</v>
      </c>
      <c r="Z11" s="59">
        <v>157</v>
      </c>
      <c r="AA11" s="59">
        <v>158</v>
      </c>
      <c r="AC11" s="59">
        <v>189</v>
      </c>
      <c r="AD11" s="59">
        <v>101</v>
      </c>
      <c r="AF11" s="40">
        <v>433</v>
      </c>
      <c r="AG11" s="237">
        <f>158</f>
        <v>158</v>
      </c>
      <c r="AH11" s="237">
        <v>627</v>
      </c>
      <c r="AI11" s="238">
        <f>2+75</f>
        <v>77</v>
      </c>
    </row>
    <row r="12" spans="1:35" x14ac:dyDescent="0.25">
      <c r="A12" s="191" t="s">
        <v>625</v>
      </c>
      <c r="C12" s="40">
        <v>227</v>
      </c>
      <c r="D12" s="40">
        <v>140</v>
      </c>
      <c r="E12" s="40">
        <v>1</v>
      </c>
      <c r="F12" s="40">
        <v>1</v>
      </c>
      <c r="G12" s="40">
        <v>1</v>
      </c>
      <c r="I12" s="40">
        <v>206</v>
      </c>
      <c r="J12" s="40">
        <v>160</v>
      </c>
      <c r="L12" s="40">
        <v>216</v>
      </c>
      <c r="M12" s="40">
        <v>214</v>
      </c>
      <c r="N12" s="40">
        <v>145</v>
      </c>
      <c r="O12" s="40">
        <v>140</v>
      </c>
      <c r="Q12" s="40">
        <v>205</v>
      </c>
      <c r="R12" s="40">
        <v>153</v>
      </c>
      <c r="T12" s="40">
        <v>225</v>
      </c>
      <c r="U12" s="40">
        <v>135</v>
      </c>
      <c r="W12" s="40">
        <v>227</v>
      </c>
      <c r="X12" s="40">
        <v>133</v>
      </c>
      <c r="Z12" s="40">
        <v>136</v>
      </c>
      <c r="AA12" s="40">
        <v>142</v>
      </c>
      <c r="AC12" s="40">
        <v>176</v>
      </c>
      <c r="AD12" s="40">
        <v>89</v>
      </c>
      <c r="AF12" s="40">
        <v>373</v>
      </c>
      <c r="AG12" s="232"/>
      <c r="AH12" s="232"/>
      <c r="AI12" s="239"/>
    </row>
    <row r="13" spans="1:35" x14ac:dyDescent="0.25">
      <c r="A13" s="191" t="s">
        <v>626</v>
      </c>
      <c r="C13" s="40">
        <v>258</v>
      </c>
      <c r="D13" s="40">
        <v>177</v>
      </c>
      <c r="E13" s="40">
        <v>2</v>
      </c>
      <c r="F13" s="40">
        <v>0</v>
      </c>
      <c r="G13" s="40">
        <v>1</v>
      </c>
      <c r="I13" s="40">
        <v>238</v>
      </c>
      <c r="J13" s="40">
        <v>191</v>
      </c>
      <c r="L13" s="40">
        <v>243</v>
      </c>
      <c r="M13" s="40">
        <v>253</v>
      </c>
      <c r="N13" s="40">
        <v>180</v>
      </c>
      <c r="O13" s="40">
        <v>163</v>
      </c>
      <c r="Q13" s="40">
        <v>247</v>
      </c>
      <c r="R13" s="40">
        <v>172</v>
      </c>
      <c r="T13" s="40">
        <v>259</v>
      </c>
      <c r="U13" s="40">
        <v>161</v>
      </c>
      <c r="W13" s="40">
        <v>252</v>
      </c>
      <c r="X13" s="40">
        <v>164</v>
      </c>
      <c r="Z13" s="40">
        <v>176</v>
      </c>
      <c r="AA13" s="40">
        <v>148</v>
      </c>
      <c r="AC13" s="40">
        <v>188</v>
      </c>
      <c r="AD13" s="40">
        <v>98</v>
      </c>
      <c r="AF13" s="40">
        <v>441</v>
      </c>
      <c r="AG13" s="232"/>
      <c r="AH13" s="232"/>
      <c r="AI13" s="239"/>
    </row>
    <row r="14" spans="1:35" x14ac:dyDescent="0.25">
      <c r="A14" s="191" t="s">
        <v>627</v>
      </c>
      <c r="C14" s="40">
        <v>265</v>
      </c>
      <c r="D14" s="40">
        <v>120</v>
      </c>
      <c r="E14" s="40">
        <v>2</v>
      </c>
      <c r="F14" s="40">
        <v>1</v>
      </c>
      <c r="G14" s="40">
        <v>1</v>
      </c>
      <c r="I14" s="40">
        <v>256</v>
      </c>
      <c r="J14" s="40">
        <v>133</v>
      </c>
      <c r="L14" s="40">
        <v>255</v>
      </c>
      <c r="M14" s="40">
        <v>269</v>
      </c>
      <c r="N14" s="40">
        <v>122</v>
      </c>
      <c r="O14" s="40">
        <v>111</v>
      </c>
      <c r="Q14" s="40">
        <v>268</v>
      </c>
      <c r="R14" s="40">
        <v>114</v>
      </c>
      <c r="T14" s="40">
        <v>274</v>
      </c>
      <c r="U14" s="40">
        <v>107</v>
      </c>
      <c r="W14" s="40">
        <v>267</v>
      </c>
      <c r="X14" s="40">
        <v>113</v>
      </c>
      <c r="Z14" s="40">
        <v>175</v>
      </c>
      <c r="AA14" s="40">
        <v>122</v>
      </c>
      <c r="AC14" s="40">
        <v>182</v>
      </c>
      <c r="AD14" s="40">
        <v>81</v>
      </c>
      <c r="AF14" s="40">
        <v>391</v>
      </c>
      <c r="AG14" s="232"/>
      <c r="AH14" s="232"/>
      <c r="AI14" s="239"/>
    </row>
    <row r="15" spans="1:35" x14ac:dyDescent="0.25">
      <c r="A15" s="191" t="s">
        <v>628</v>
      </c>
      <c r="C15" s="40">
        <v>334</v>
      </c>
      <c r="D15" s="40">
        <v>162</v>
      </c>
      <c r="E15" s="40">
        <v>0</v>
      </c>
      <c r="F15" s="40">
        <v>0</v>
      </c>
      <c r="G15" s="40">
        <v>1</v>
      </c>
      <c r="I15" s="40">
        <v>313</v>
      </c>
      <c r="J15" s="40">
        <v>176</v>
      </c>
      <c r="L15" s="40">
        <v>312</v>
      </c>
      <c r="M15" s="40">
        <v>329</v>
      </c>
      <c r="N15" s="40">
        <v>164</v>
      </c>
      <c r="O15" s="40">
        <v>140</v>
      </c>
      <c r="Q15" s="40">
        <v>311</v>
      </c>
      <c r="R15" s="40">
        <v>163</v>
      </c>
      <c r="T15" s="40">
        <v>338</v>
      </c>
      <c r="U15" s="40">
        <v>142</v>
      </c>
      <c r="W15" s="40">
        <v>319</v>
      </c>
      <c r="X15" s="40">
        <v>148</v>
      </c>
      <c r="Z15" s="40">
        <v>221</v>
      </c>
      <c r="AA15" s="40">
        <v>144</v>
      </c>
      <c r="AC15" s="40">
        <v>213</v>
      </c>
      <c r="AD15" s="40">
        <v>108</v>
      </c>
      <c r="AF15" s="40">
        <v>501</v>
      </c>
      <c r="AG15" s="233"/>
      <c r="AH15" s="233"/>
      <c r="AI15" s="240"/>
    </row>
    <row r="16" spans="1:35" ht="15.75" thickBot="1" x14ac:dyDescent="0.3"/>
    <row r="17" spans="1:35" ht="15.75" thickBot="1" x14ac:dyDescent="0.3">
      <c r="A17" s="50" t="s">
        <v>8</v>
      </c>
      <c r="B17" s="192"/>
      <c r="C17" s="51">
        <f>+SUM(C11:C15)</f>
        <v>1316</v>
      </c>
      <c r="D17" s="51">
        <f t="shared" ref="D17:O17" si="0">+SUM(D11:D15)</f>
        <v>794</v>
      </c>
      <c r="E17" s="51">
        <f t="shared" si="0"/>
        <v>5</v>
      </c>
      <c r="F17" s="51">
        <f t="shared" si="0"/>
        <v>4</v>
      </c>
      <c r="G17" s="51">
        <f t="shared" si="0"/>
        <v>4</v>
      </c>
      <c r="I17" s="51">
        <f t="shared" si="0"/>
        <v>1234</v>
      </c>
      <c r="J17" s="51">
        <f t="shared" si="0"/>
        <v>850</v>
      </c>
      <c r="L17" s="51">
        <f t="shared" si="0"/>
        <v>1268</v>
      </c>
      <c r="M17" s="51">
        <f t="shared" si="0"/>
        <v>1297</v>
      </c>
      <c r="N17" s="51">
        <f t="shared" si="0"/>
        <v>781</v>
      </c>
      <c r="O17" s="51">
        <f t="shared" si="0"/>
        <v>726</v>
      </c>
      <c r="Q17" s="51">
        <f t="shared" ref="Q17:AD17" si="1">+SUM(Q11:Q15)</f>
        <v>1259</v>
      </c>
      <c r="R17" s="51">
        <f t="shared" si="1"/>
        <v>783</v>
      </c>
      <c r="T17" s="51">
        <f t="shared" si="1"/>
        <v>1333</v>
      </c>
      <c r="U17" s="51">
        <f t="shared" si="1"/>
        <v>716</v>
      </c>
      <c r="W17" s="51">
        <f t="shared" si="1"/>
        <v>1303</v>
      </c>
      <c r="X17" s="51">
        <f t="shared" si="1"/>
        <v>728</v>
      </c>
      <c r="Z17" s="51">
        <f t="shared" si="1"/>
        <v>865</v>
      </c>
      <c r="AA17" s="51">
        <f t="shared" ref="AA17" si="2">+SUM(AA11:AA15)</f>
        <v>714</v>
      </c>
      <c r="AC17" s="51">
        <f t="shared" si="1"/>
        <v>948</v>
      </c>
      <c r="AD17" s="51">
        <f t="shared" si="1"/>
        <v>477</v>
      </c>
      <c r="AF17" s="51">
        <f t="shared" ref="AF17:AI17" si="3">+SUM(AF11:AF15)</f>
        <v>2139</v>
      </c>
      <c r="AG17" s="51">
        <f t="shared" si="3"/>
        <v>158</v>
      </c>
      <c r="AH17" s="51">
        <f t="shared" si="3"/>
        <v>627</v>
      </c>
      <c r="AI17" s="51">
        <f t="shared" si="3"/>
        <v>77</v>
      </c>
    </row>
    <row r="18" spans="1:35" x14ac:dyDescent="0.25">
      <c r="A18" s="92" t="s">
        <v>146</v>
      </c>
      <c r="B18" s="192"/>
      <c r="C18" s="53">
        <v>62</v>
      </c>
      <c r="D18" s="53">
        <v>91</v>
      </c>
      <c r="E18" s="53">
        <v>1</v>
      </c>
      <c r="F18" s="53">
        <v>0</v>
      </c>
      <c r="G18" s="53">
        <v>1</v>
      </c>
      <c r="I18" s="53">
        <v>65</v>
      </c>
      <c r="J18" s="53">
        <v>88</v>
      </c>
      <c r="L18" s="53">
        <v>64</v>
      </c>
      <c r="M18" s="53">
        <v>63</v>
      </c>
      <c r="N18" s="53">
        <v>86</v>
      </c>
      <c r="O18" s="53">
        <v>89</v>
      </c>
      <c r="Q18" s="53">
        <v>63</v>
      </c>
      <c r="R18" s="53">
        <v>87</v>
      </c>
      <c r="T18" s="53">
        <v>62</v>
      </c>
      <c r="U18" s="53">
        <v>85</v>
      </c>
      <c r="W18" s="53">
        <v>62</v>
      </c>
      <c r="X18" s="53">
        <v>86</v>
      </c>
      <c r="Z18" s="53">
        <v>83</v>
      </c>
      <c r="AA18" s="53">
        <v>63</v>
      </c>
      <c r="AC18" s="53">
        <v>116</v>
      </c>
      <c r="AD18" s="53">
        <v>30</v>
      </c>
      <c r="AF18" s="93"/>
      <c r="AG18" s="93"/>
      <c r="AH18" s="93"/>
      <c r="AI18" s="93"/>
    </row>
    <row r="19" spans="1:35" x14ac:dyDescent="0.25">
      <c r="A19" s="92" t="s">
        <v>43</v>
      </c>
      <c r="B19" s="192"/>
      <c r="C19" s="41">
        <v>170</v>
      </c>
      <c r="D19" s="41">
        <v>448</v>
      </c>
      <c r="E19" s="41">
        <v>0</v>
      </c>
      <c r="F19" s="41">
        <v>4</v>
      </c>
      <c r="G19" s="41">
        <v>0</v>
      </c>
      <c r="I19" s="41">
        <v>159</v>
      </c>
      <c r="J19" s="41">
        <v>461</v>
      </c>
      <c r="L19" s="41">
        <v>196</v>
      </c>
      <c r="M19" s="41">
        <v>189</v>
      </c>
      <c r="N19" s="41">
        <v>421</v>
      </c>
      <c r="O19" s="41">
        <v>424</v>
      </c>
      <c r="Q19" s="41">
        <v>171</v>
      </c>
      <c r="R19" s="41">
        <v>443</v>
      </c>
      <c r="T19" s="41">
        <v>186</v>
      </c>
      <c r="U19" s="41">
        <v>429</v>
      </c>
      <c r="W19" s="41">
        <v>184</v>
      </c>
      <c r="X19" s="41">
        <v>430</v>
      </c>
      <c r="Z19" s="41">
        <v>261</v>
      </c>
      <c r="AA19" s="41">
        <v>256</v>
      </c>
      <c r="AC19" s="41">
        <v>344</v>
      </c>
      <c r="AD19" s="41">
        <v>166</v>
      </c>
      <c r="AF19" s="93"/>
      <c r="AG19" s="93"/>
      <c r="AH19" s="93"/>
      <c r="AI19" s="93"/>
    </row>
    <row r="20" spans="1:35" x14ac:dyDescent="0.25">
      <c r="A20" s="94" t="s">
        <v>644</v>
      </c>
      <c r="B20" s="192"/>
      <c r="C20" s="95">
        <v>1</v>
      </c>
      <c r="D20" s="95">
        <v>1</v>
      </c>
      <c r="E20" s="95">
        <v>0</v>
      </c>
      <c r="F20" s="95">
        <v>0</v>
      </c>
      <c r="G20" s="95">
        <v>0</v>
      </c>
      <c r="I20" s="95">
        <v>1</v>
      </c>
      <c r="J20" s="95">
        <v>1</v>
      </c>
      <c r="L20" s="95">
        <v>1</v>
      </c>
      <c r="M20" s="95">
        <v>1</v>
      </c>
      <c r="N20" s="95">
        <v>1</v>
      </c>
      <c r="O20" s="95">
        <v>1</v>
      </c>
      <c r="Q20" s="95">
        <v>1</v>
      </c>
      <c r="R20" s="95">
        <v>1</v>
      </c>
      <c r="T20" s="95">
        <v>1</v>
      </c>
      <c r="U20" s="95">
        <v>1</v>
      </c>
      <c r="W20" s="95">
        <v>1</v>
      </c>
      <c r="X20" s="95">
        <v>1</v>
      </c>
      <c r="Z20" s="95">
        <v>1</v>
      </c>
      <c r="AA20" s="95">
        <v>1</v>
      </c>
      <c r="AB20" s="213" t="s">
        <v>258</v>
      </c>
      <c r="AC20" s="95">
        <v>1</v>
      </c>
      <c r="AD20" s="95">
        <v>1</v>
      </c>
      <c r="AF20" s="93"/>
      <c r="AG20" s="93"/>
      <c r="AH20" s="93"/>
      <c r="AI20" s="93"/>
    </row>
    <row r="21" spans="1:35" x14ac:dyDescent="0.25">
      <c r="A21" s="94" t="s">
        <v>645</v>
      </c>
      <c r="B21" s="192"/>
      <c r="C21" s="95">
        <v>46</v>
      </c>
      <c r="D21" s="95">
        <v>24</v>
      </c>
      <c r="E21" s="95">
        <v>2</v>
      </c>
      <c r="F21" s="95">
        <v>1</v>
      </c>
      <c r="G21" s="95">
        <v>0</v>
      </c>
      <c r="I21" s="95">
        <v>37</v>
      </c>
      <c r="J21" s="95">
        <v>33</v>
      </c>
      <c r="L21" s="95">
        <v>47</v>
      </c>
      <c r="M21" s="95">
        <v>43</v>
      </c>
      <c r="N21" s="95">
        <v>21</v>
      </c>
      <c r="O21" s="95">
        <v>25</v>
      </c>
      <c r="Q21" s="95">
        <v>42</v>
      </c>
      <c r="R21" s="95">
        <v>27</v>
      </c>
      <c r="T21" s="95">
        <v>44</v>
      </c>
      <c r="U21" s="95">
        <v>24</v>
      </c>
      <c r="W21" s="95">
        <v>41</v>
      </c>
      <c r="X21" s="95">
        <v>25</v>
      </c>
      <c r="Z21" s="95">
        <v>22</v>
      </c>
      <c r="AA21" s="95">
        <v>25</v>
      </c>
      <c r="AC21" s="95">
        <v>24</v>
      </c>
      <c r="AD21" s="95">
        <v>19</v>
      </c>
      <c r="AF21" s="93"/>
      <c r="AG21" s="93"/>
      <c r="AH21" s="93"/>
      <c r="AI21" s="93"/>
    </row>
    <row r="22" spans="1:35" ht="15.75" thickBot="1" x14ac:dyDescent="0.3">
      <c r="A22" s="94" t="s">
        <v>651</v>
      </c>
      <c r="B22" s="192"/>
      <c r="C22" s="95">
        <f>4</f>
        <v>4</v>
      </c>
      <c r="D22" s="95">
        <f>5+1</f>
        <v>6</v>
      </c>
      <c r="E22" s="95">
        <v>0</v>
      </c>
      <c r="F22" s="95">
        <v>0</v>
      </c>
      <c r="G22" s="95">
        <v>0</v>
      </c>
      <c r="I22" s="95">
        <f>5</f>
        <v>5</v>
      </c>
      <c r="J22" s="95">
        <f>4+1</f>
        <v>5</v>
      </c>
      <c r="L22" s="95">
        <f>5</f>
        <v>5</v>
      </c>
      <c r="M22" s="95">
        <f>4</f>
        <v>4</v>
      </c>
      <c r="N22" s="95">
        <f>4+1</f>
        <v>5</v>
      </c>
      <c r="O22" s="95">
        <f>5+1</f>
        <v>6</v>
      </c>
      <c r="Q22" s="95">
        <f>4</f>
        <v>4</v>
      </c>
      <c r="R22" s="95">
        <f>5+1</f>
        <v>6</v>
      </c>
      <c r="T22" s="95">
        <f>5</f>
        <v>5</v>
      </c>
      <c r="U22" s="95">
        <f>4+1</f>
        <v>5</v>
      </c>
      <c r="W22" s="95">
        <f>3</f>
        <v>3</v>
      </c>
      <c r="X22" s="95">
        <f>5+1</f>
        <v>6</v>
      </c>
      <c r="Z22" s="95">
        <f>4</f>
        <v>4</v>
      </c>
      <c r="AA22" s="95">
        <f>1+1</f>
        <v>2</v>
      </c>
      <c r="AB22" s="191" t="s">
        <v>258</v>
      </c>
      <c r="AC22" s="95">
        <f>4</f>
        <v>4</v>
      </c>
      <c r="AD22" s="95">
        <f>1+1</f>
        <v>2</v>
      </c>
      <c r="AF22" s="93"/>
      <c r="AG22" s="93"/>
      <c r="AH22" s="93"/>
      <c r="AI22" s="93"/>
    </row>
    <row r="23" spans="1:35" ht="15.75" thickBot="1" x14ac:dyDescent="0.3">
      <c r="A23" s="50" t="s">
        <v>45</v>
      </c>
      <c r="B23" s="192"/>
      <c r="C23" s="51">
        <f>+SUM(C17:C22)</f>
        <v>1599</v>
      </c>
      <c r="D23" s="51">
        <f t="shared" ref="D23:G23" si="4">+SUM(D17:D22)</f>
        <v>1364</v>
      </c>
      <c r="E23" s="51">
        <f t="shared" si="4"/>
        <v>8</v>
      </c>
      <c r="F23" s="51">
        <f t="shared" si="4"/>
        <v>9</v>
      </c>
      <c r="G23" s="51">
        <f t="shared" si="4"/>
        <v>5</v>
      </c>
      <c r="I23" s="51">
        <f t="shared" ref="I23:J23" si="5">+SUM(I17:I22)</f>
        <v>1501</v>
      </c>
      <c r="J23" s="51">
        <f t="shared" si="5"/>
        <v>1438</v>
      </c>
      <c r="L23" s="51">
        <f t="shared" ref="L23:O23" si="6">+SUM(L17:L22)</f>
        <v>1581</v>
      </c>
      <c r="M23" s="51">
        <f t="shared" si="6"/>
        <v>1597</v>
      </c>
      <c r="N23" s="51">
        <f t="shared" si="6"/>
        <v>1315</v>
      </c>
      <c r="O23" s="51">
        <f t="shared" si="6"/>
        <v>1271</v>
      </c>
      <c r="Q23" s="51">
        <f t="shared" ref="Q23:R23" si="7">+SUM(Q17:Q22)</f>
        <v>1540</v>
      </c>
      <c r="R23" s="51">
        <f t="shared" si="7"/>
        <v>1347</v>
      </c>
      <c r="T23" s="51">
        <f t="shared" ref="T23:U23" si="8">+SUM(T17:T22)</f>
        <v>1631</v>
      </c>
      <c r="U23" s="51">
        <f t="shared" si="8"/>
        <v>1260</v>
      </c>
      <c r="W23" s="51">
        <f t="shared" ref="W23:X23" si="9">+SUM(W17:W22)</f>
        <v>1594</v>
      </c>
      <c r="X23" s="51">
        <f t="shared" si="9"/>
        <v>1276</v>
      </c>
      <c r="Z23" s="51">
        <f t="shared" ref="Z23:AA23" si="10">+SUM(Z17:Z22)</f>
        <v>1236</v>
      </c>
      <c r="AA23" s="51">
        <f t="shared" si="10"/>
        <v>1061</v>
      </c>
      <c r="AC23" s="51">
        <f t="shared" ref="AC23:AD23" si="11">+SUM(AC17:AC22)</f>
        <v>1437</v>
      </c>
      <c r="AD23" s="51">
        <f t="shared" si="11"/>
        <v>695</v>
      </c>
      <c r="AF23" s="96"/>
      <c r="AG23" s="96"/>
      <c r="AH23" s="96"/>
      <c r="AI23" s="96"/>
    </row>
  </sheetData>
  <mergeCells count="18">
    <mergeCell ref="Q3:R3"/>
    <mergeCell ref="T3:U3"/>
    <mergeCell ref="W3:X3"/>
    <mergeCell ref="Z3:AA3"/>
    <mergeCell ref="AC3:AD3"/>
    <mergeCell ref="C2:G2"/>
    <mergeCell ref="I2:O2"/>
    <mergeCell ref="C3:G3"/>
    <mergeCell ref="I3:J3"/>
    <mergeCell ref="L3:O3"/>
    <mergeCell ref="AH11:AH15"/>
    <mergeCell ref="AG11:AG15"/>
    <mergeCell ref="AF2:AI3"/>
    <mergeCell ref="Z6:Z8"/>
    <mergeCell ref="AA6:AA8"/>
    <mergeCell ref="AC6:AC8"/>
    <mergeCell ref="AD6:AD8"/>
    <mergeCell ref="AI11:AI15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1" manualBreakCount="1">
    <brk id="1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20"/>
  <sheetViews>
    <sheetView zoomScale="75" zoomScaleNormal="75" workbookViewId="0">
      <pane xSplit="1" topLeftCell="F1" activePane="topRight" state="frozen"/>
      <selection pane="topRight"/>
    </sheetView>
  </sheetViews>
  <sheetFormatPr defaultRowHeight="15" x14ac:dyDescent="0.25"/>
  <cols>
    <col min="1" max="1" width="22.7109375" style="191" customWidth="1"/>
    <col min="2" max="2" width="1.7109375" style="191" customWidth="1"/>
    <col min="3" max="5" width="14" style="191" customWidth="1"/>
    <col min="6" max="6" width="14.7109375" style="191" customWidth="1"/>
    <col min="7" max="7" width="15.28515625" style="191" customWidth="1"/>
    <col min="8" max="8" width="1.7109375" style="191" customWidth="1"/>
    <col min="9" max="10" width="14" style="191" customWidth="1"/>
    <col min="11" max="11" width="1.7109375" style="191" customWidth="1"/>
    <col min="12" max="17" width="14" style="191" customWidth="1"/>
    <col min="18" max="18" width="1.7109375" style="191" customWidth="1"/>
    <col min="19" max="20" width="14" style="191" customWidth="1"/>
    <col min="21" max="21" width="1.7109375" style="191" customWidth="1"/>
    <col min="22" max="23" width="14" style="191" customWidth="1"/>
    <col min="24" max="24" width="1.7109375" style="191" customWidth="1"/>
    <col min="25" max="26" width="14" style="191" customWidth="1"/>
    <col min="27" max="27" width="1.7109375" style="191" customWidth="1"/>
    <col min="28" max="29" width="14" style="191" customWidth="1"/>
    <col min="30" max="30" width="1.7109375" style="191" customWidth="1"/>
    <col min="31" max="31" width="16" style="191" customWidth="1"/>
    <col min="32" max="34" width="14" style="191" customWidth="1"/>
    <col min="35" max="35" width="1.7109375" style="191" customWidth="1"/>
    <col min="36" max="37" width="9.7109375" style="191" customWidth="1"/>
    <col min="38" max="38" width="1.7109375" style="191" customWidth="1"/>
    <col min="39" max="40" width="9.7109375" style="191" customWidth="1"/>
    <col min="41" max="41" width="1.7109375" style="191" customWidth="1"/>
    <col min="42" max="42" width="13.42578125" style="191" customWidth="1"/>
    <col min="43" max="44" width="9.5703125" style="191" customWidth="1"/>
    <col min="45" max="65" width="13.42578125" style="191" customWidth="1"/>
    <col min="66" max="16384" width="9.140625" style="191"/>
  </cols>
  <sheetData>
    <row r="2" spans="1:45" x14ac:dyDescent="0.25">
      <c r="C2" s="224"/>
      <c r="D2" s="225"/>
      <c r="E2" s="225"/>
      <c r="F2" s="225"/>
      <c r="G2" s="226"/>
      <c r="I2" s="224" t="s">
        <v>1</v>
      </c>
      <c r="J2" s="225"/>
      <c r="K2" s="225"/>
      <c r="L2" s="225"/>
      <c r="M2" s="225"/>
      <c r="N2" s="225"/>
      <c r="O2" s="225"/>
      <c r="P2" s="225"/>
      <c r="Q2" s="226"/>
      <c r="S2" s="80"/>
      <c r="T2" s="81"/>
      <c r="V2" s="80"/>
      <c r="W2" s="81"/>
      <c r="Y2" s="80"/>
      <c r="Z2" s="81"/>
      <c r="AB2" s="224"/>
      <c r="AC2" s="226"/>
      <c r="AE2" s="224" t="s">
        <v>148</v>
      </c>
      <c r="AF2" s="225"/>
      <c r="AG2" s="225"/>
      <c r="AH2" s="226"/>
      <c r="AJ2" s="80"/>
      <c r="AK2" s="81"/>
      <c r="AM2" s="80"/>
      <c r="AN2" s="81"/>
      <c r="AP2" s="234" t="s">
        <v>5</v>
      </c>
      <c r="AQ2" s="235"/>
      <c r="AR2" s="235"/>
      <c r="AS2" s="236"/>
    </row>
    <row r="3" spans="1:45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7"/>
      <c r="P3" s="227"/>
      <c r="Q3" s="223"/>
      <c r="S3" s="222" t="s">
        <v>121</v>
      </c>
      <c r="T3" s="223"/>
      <c r="V3" s="222" t="s">
        <v>122</v>
      </c>
      <c r="W3" s="223"/>
      <c r="Y3" s="222" t="s">
        <v>125</v>
      </c>
      <c r="Z3" s="223"/>
      <c r="AB3" s="222" t="s">
        <v>261</v>
      </c>
      <c r="AC3" s="223"/>
      <c r="AE3" s="222" t="s">
        <v>151</v>
      </c>
      <c r="AF3" s="227"/>
      <c r="AG3" s="227"/>
      <c r="AH3" s="223"/>
      <c r="AJ3" s="222" t="s">
        <v>126</v>
      </c>
      <c r="AK3" s="223"/>
      <c r="AM3" s="222" t="s">
        <v>127</v>
      </c>
      <c r="AN3" s="223"/>
      <c r="AP3" s="219"/>
      <c r="AQ3" s="220"/>
      <c r="AR3" s="220"/>
      <c r="AS3" s="221"/>
    </row>
    <row r="4" spans="1:45" ht="5.0999999999999996" customHeight="1" thickBot="1" x14ac:dyDescent="0.3">
      <c r="C4" s="186"/>
      <c r="D4" s="187"/>
      <c r="E4" s="187"/>
      <c r="F4" s="187"/>
      <c r="G4" s="188"/>
      <c r="I4" s="186"/>
      <c r="J4" s="187"/>
      <c r="K4" s="140"/>
      <c r="L4" s="73"/>
      <c r="M4" s="73"/>
      <c r="N4" s="73"/>
      <c r="O4" s="73"/>
      <c r="P4" s="73"/>
      <c r="Q4" s="74"/>
      <c r="S4" s="114"/>
      <c r="T4" s="79"/>
      <c r="V4" s="114"/>
      <c r="W4" s="79"/>
      <c r="Y4" s="114"/>
      <c r="Z4" s="79"/>
      <c r="AB4" s="147"/>
      <c r="AC4" s="148"/>
      <c r="AE4" s="147"/>
      <c r="AF4" s="182"/>
      <c r="AG4" s="182"/>
      <c r="AH4" s="148"/>
      <c r="AJ4" s="75"/>
      <c r="AK4" s="74"/>
      <c r="AM4" s="75"/>
      <c r="AN4" s="74"/>
      <c r="AP4" s="204"/>
      <c r="AQ4" s="205"/>
      <c r="AR4" s="205"/>
      <c r="AS4" s="206"/>
    </row>
    <row r="5" spans="1:45" x14ac:dyDescent="0.25">
      <c r="C5" s="5"/>
      <c r="D5" s="8"/>
      <c r="E5" s="8"/>
      <c r="F5" s="8"/>
      <c r="G5" s="6"/>
      <c r="I5" s="130"/>
      <c r="J5" s="153"/>
      <c r="K5" s="153"/>
      <c r="L5" s="153"/>
      <c r="M5" s="153"/>
      <c r="N5" s="153"/>
      <c r="O5" s="153"/>
      <c r="P5" s="153"/>
      <c r="Q5" s="131"/>
      <c r="S5" s="130"/>
      <c r="T5" s="131"/>
      <c r="V5" s="130"/>
      <c r="W5" s="131"/>
      <c r="Y5" s="130"/>
      <c r="Z5" s="131"/>
      <c r="AB5" s="130"/>
      <c r="AC5" s="131"/>
      <c r="AE5" s="130"/>
      <c r="AF5" s="153"/>
      <c r="AG5" s="153"/>
      <c r="AH5" s="131"/>
      <c r="AJ5" s="10"/>
      <c r="AK5" s="12"/>
      <c r="AL5" s="132"/>
      <c r="AM5" s="10"/>
      <c r="AN5" s="12"/>
      <c r="AP5" s="157"/>
      <c r="AQ5" s="158"/>
      <c r="AR5" s="158"/>
      <c r="AS5" s="159"/>
    </row>
    <row r="6" spans="1:45" s="138" customFormat="1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133" t="str">
        <f>+'Lead Sheet'!I6</f>
        <v>Michael</v>
      </c>
      <c r="J6" s="135" t="str">
        <f>+'Lead Sheet'!J6</f>
        <v>Yolanda E.</v>
      </c>
      <c r="K6" s="135"/>
      <c r="L6" s="135" t="str">
        <f>+'Lead Sheet'!L6</f>
        <v>Erik</v>
      </c>
      <c r="M6" s="135" t="str">
        <f>+'Lead Sheet'!M6</f>
        <v>Antwan</v>
      </c>
      <c r="N6" s="135" t="str">
        <f>+'Lead Sheet'!N6</f>
        <v>John P.</v>
      </c>
      <c r="O6" s="135" t="str">
        <f>+'Lead Sheet'!O6</f>
        <v>Julia L.</v>
      </c>
      <c r="P6" s="135" t="str">
        <f>+'Lead Sheet'!P6</f>
        <v>Michael</v>
      </c>
      <c r="Q6" s="134" t="str">
        <f>+'Lead Sheet'!Q6</f>
        <v>Jacob</v>
      </c>
      <c r="S6" s="133" t="str">
        <f>+'Lead Sheet'!AR6</f>
        <v>Joseph J.</v>
      </c>
      <c r="T6" s="134" t="str">
        <f>+'Lead Sheet'!AS6</f>
        <v>Lisa</v>
      </c>
      <c r="V6" s="133" t="str">
        <f>+'Lead Sheet'!AU6</f>
        <v>Frank X.</v>
      </c>
      <c r="W6" s="134" t="str">
        <f>+'Lead Sheet'!AV6</f>
        <v>Celeste</v>
      </c>
      <c r="Y6" s="133" t="str">
        <f>+'Lead Sheet'!BD6</f>
        <v>James</v>
      </c>
      <c r="Z6" s="134" t="str">
        <f>+'Lead Sheet'!BE6</f>
        <v>Dr. William</v>
      </c>
      <c r="AB6" s="133" t="s">
        <v>631</v>
      </c>
      <c r="AC6" s="134" t="s">
        <v>183</v>
      </c>
      <c r="AE6" s="133" t="s">
        <v>634</v>
      </c>
      <c r="AF6" s="135" t="s">
        <v>640</v>
      </c>
      <c r="AG6" s="135" t="s">
        <v>191</v>
      </c>
      <c r="AH6" s="134" t="s">
        <v>646</v>
      </c>
      <c r="AJ6" s="229" t="s">
        <v>9</v>
      </c>
      <c r="AK6" s="230" t="s">
        <v>10</v>
      </c>
      <c r="AL6" s="132"/>
      <c r="AM6" s="229" t="s">
        <v>9</v>
      </c>
      <c r="AN6" s="230" t="s">
        <v>10</v>
      </c>
      <c r="AP6" s="160" t="s">
        <v>8</v>
      </c>
      <c r="AQ6" s="161" t="s">
        <v>8</v>
      </c>
      <c r="AR6" s="161" t="s">
        <v>8</v>
      </c>
      <c r="AS6" s="162" t="s">
        <v>8</v>
      </c>
    </row>
    <row r="7" spans="1:45" s="138" customFormat="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133" t="str">
        <f>+'Lead Sheet'!I7</f>
        <v>TESTA</v>
      </c>
      <c r="J7" s="135" t="str">
        <f>+'Lead Sheet'!J7</f>
        <v>GARCIA BALICKI</v>
      </c>
      <c r="K7" s="135"/>
      <c r="L7" s="135" t="str">
        <f>+'Lead Sheet'!L7</f>
        <v>SIMONSEN</v>
      </c>
      <c r="M7" s="135" t="str">
        <f>+'Lead Sheet'!M7</f>
        <v>McCLELLAN</v>
      </c>
      <c r="N7" s="135" t="str">
        <f>+'Lead Sheet'!N7</f>
        <v>CAPIZOLA, Jr.</v>
      </c>
      <c r="O7" s="135" t="str">
        <f>+'Lead Sheet'!O7</f>
        <v>HANKERSON</v>
      </c>
      <c r="P7" s="135" t="str">
        <f>+'Lead Sheet'!P7</f>
        <v>GALLO</v>
      </c>
      <c r="Q7" s="134" t="str">
        <f>+'Lead Sheet'!Q7</f>
        <v>SELWOOD</v>
      </c>
      <c r="S7" s="133" t="str">
        <f>+'Lead Sheet'!AR7</f>
        <v>GIRALO</v>
      </c>
      <c r="T7" s="134" t="str">
        <f>+'Lead Sheet'!AS7</f>
        <v>JIAMPETTI</v>
      </c>
      <c r="V7" s="133" t="str">
        <f>+'Lead Sheet'!AU7</f>
        <v>BALLES</v>
      </c>
      <c r="W7" s="134" t="str">
        <f>+'Lead Sheet'!AV7</f>
        <v>FERNANDEZ</v>
      </c>
      <c r="Y7" s="133" t="str">
        <f>+'Lead Sheet'!BD7</f>
        <v>BERTINO</v>
      </c>
      <c r="Z7" s="134" t="str">
        <f>+'Lead Sheet'!BE7</f>
        <v>BEYERS</v>
      </c>
      <c r="AB7" s="133" t="s">
        <v>632</v>
      </c>
      <c r="AC7" s="134" t="s">
        <v>159</v>
      </c>
      <c r="AE7" s="133" t="s">
        <v>635</v>
      </c>
      <c r="AF7" s="135" t="s">
        <v>641</v>
      </c>
      <c r="AG7" s="135" t="s">
        <v>650</v>
      </c>
      <c r="AH7" s="134" t="s">
        <v>647</v>
      </c>
      <c r="AJ7" s="229"/>
      <c r="AK7" s="230"/>
      <c r="AL7" s="132"/>
      <c r="AM7" s="229"/>
      <c r="AN7" s="230"/>
      <c r="AP7" s="160" t="s">
        <v>12</v>
      </c>
      <c r="AQ7" s="161" t="s">
        <v>144</v>
      </c>
      <c r="AR7" s="161" t="s">
        <v>13</v>
      </c>
      <c r="AS7" s="162" t="s">
        <v>14</v>
      </c>
    </row>
    <row r="8" spans="1:45" s="138" customFormat="1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133" t="str">
        <f>+'Lead Sheet'!I8</f>
        <v>Republican</v>
      </c>
      <c r="J8" s="135" t="str">
        <f>+'Lead Sheet'!J8</f>
        <v>Democrat</v>
      </c>
      <c r="K8" s="135"/>
      <c r="L8" s="135" t="str">
        <f>+'Lead Sheet'!L8</f>
        <v>Republican</v>
      </c>
      <c r="M8" s="135" t="str">
        <f>+'Lead Sheet'!M8</f>
        <v>Republican</v>
      </c>
      <c r="N8" s="135" t="str">
        <f>+'Lead Sheet'!N8</f>
        <v>Democrat</v>
      </c>
      <c r="O8" s="135" t="str">
        <f>+'Lead Sheet'!O8</f>
        <v>Democrat</v>
      </c>
      <c r="P8" s="135" t="str">
        <f>+'Lead Sheet'!P8</f>
        <v>Libertarian Party</v>
      </c>
      <c r="Q8" s="134" t="str">
        <f>+'Lead Sheet'!Q8</f>
        <v>Libertarian Party</v>
      </c>
      <c r="S8" s="133" t="str">
        <f>+'Lead Sheet'!AR8</f>
        <v>Republican</v>
      </c>
      <c r="T8" s="134" t="str">
        <f>+'Lead Sheet'!AS8</f>
        <v>Democrat</v>
      </c>
      <c r="V8" s="133" t="str">
        <f>+'Lead Sheet'!AU8</f>
        <v>Republican</v>
      </c>
      <c r="W8" s="134" t="str">
        <f>+'Lead Sheet'!AV8</f>
        <v>Democrat</v>
      </c>
      <c r="Y8" s="133" t="str">
        <f>+'Lead Sheet'!BD8</f>
        <v>Republican</v>
      </c>
      <c r="Z8" s="134" t="str">
        <f>+'Lead Sheet'!BE8</f>
        <v>Democrat</v>
      </c>
      <c r="AB8" s="133" t="s">
        <v>16</v>
      </c>
      <c r="AC8" s="134" t="s">
        <v>59</v>
      </c>
      <c r="AE8" s="133" t="s">
        <v>633</v>
      </c>
      <c r="AF8" s="135"/>
      <c r="AG8" s="135"/>
      <c r="AH8" s="134"/>
      <c r="AJ8" s="229"/>
      <c r="AK8" s="230"/>
      <c r="AL8" s="132"/>
      <c r="AM8" s="229"/>
      <c r="AN8" s="230"/>
      <c r="AP8" s="160" t="s">
        <v>18</v>
      </c>
      <c r="AQ8" s="161" t="s">
        <v>145</v>
      </c>
      <c r="AR8" s="161" t="s">
        <v>19</v>
      </c>
      <c r="AS8" s="162" t="s">
        <v>18</v>
      </c>
    </row>
    <row r="9" spans="1:45" x14ac:dyDescent="0.25">
      <c r="C9" s="60"/>
      <c r="D9" s="31"/>
      <c r="E9" s="31"/>
      <c r="F9" s="31"/>
      <c r="G9" s="61" t="str">
        <f>+'Lead Sheet'!G9</f>
        <v>Party</v>
      </c>
      <c r="I9" s="143"/>
      <c r="J9" s="132"/>
      <c r="K9" s="132"/>
      <c r="L9" s="132"/>
      <c r="M9" s="132"/>
      <c r="N9" s="132"/>
      <c r="O9" s="132"/>
      <c r="P9" s="132"/>
      <c r="Q9" s="144"/>
      <c r="S9" s="143"/>
      <c r="T9" s="144"/>
      <c r="V9" s="143"/>
      <c r="W9" s="144"/>
      <c r="Y9" s="143"/>
      <c r="Z9" s="144"/>
      <c r="AB9" s="143"/>
      <c r="AC9" s="144"/>
      <c r="AE9" s="143"/>
      <c r="AF9" s="132"/>
      <c r="AG9" s="132"/>
      <c r="AH9" s="144"/>
      <c r="AJ9" s="27"/>
      <c r="AK9" s="28"/>
      <c r="AL9" s="132"/>
      <c r="AM9" s="27"/>
      <c r="AN9" s="28"/>
      <c r="AP9" s="164"/>
      <c r="AQ9" s="163"/>
      <c r="AR9" s="163"/>
      <c r="AS9" s="165"/>
    </row>
    <row r="10" spans="1:45" ht="5.0999999999999996" customHeight="1" thickBot="1" x14ac:dyDescent="0.3">
      <c r="C10" s="29"/>
      <c r="D10" s="32"/>
      <c r="E10" s="32"/>
      <c r="F10" s="32"/>
      <c r="G10" s="30"/>
      <c r="I10" s="136"/>
      <c r="J10" s="152"/>
      <c r="K10" s="152"/>
      <c r="L10" s="152"/>
      <c r="M10" s="152"/>
      <c r="N10" s="152"/>
      <c r="O10" s="152"/>
      <c r="P10" s="152"/>
      <c r="Q10" s="137"/>
      <c r="S10" s="136"/>
      <c r="T10" s="137"/>
      <c r="V10" s="136"/>
      <c r="W10" s="137"/>
      <c r="Y10" s="136"/>
      <c r="Z10" s="137"/>
      <c r="AB10" s="136"/>
      <c r="AC10" s="137"/>
      <c r="AE10" s="136"/>
      <c r="AF10" s="152"/>
      <c r="AG10" s="152"/>
      <c r="AH10" s="137"/>
      <c r="AJ10" s="33"/>
      <c r="AK10" s="35"/>
      <c r="AM10" s="33"/>
      <c r="AN10" s="35"/>
      <c r="AP10" s="166"/>
      <c r="AQ10" s="167"/>
      <c r="AR10" s="167"/>
      <c r="AS10" s="168"/>
    </row>
    <row r="11" spans="1:45" x14ac:dyDescent="0.25">
      <c r="A11" s="191" t="s">
        <v>629</v>
      </c>
      <c r="C11" s="40">
        <v>279</v>
      </c>
      <c r="D11" s="40">
        <v>86</v>
      </c>
      <c r="E11" s="40">
        <v>3</v>
      </c>
      <c r="F11" s="40">
        <v>3</v>
      </c>
      <c r="G11" s="40">
        <v>0</v>
      </c>
      <c r="I11" s="59">
        <v>283</v>
      </c>
      <c r="J11" s="59">
        <v>79</v>
      </c>
      <c r="L11" s="59">
        <v>263</v>
      </c>
      <c r="M11" s="59">
        <v>260</v>
      </c>
      <c r="N11" s="59">
        <v>86</v>
      </c>
      <c r="O11" s="59">
        <v>86</v>
      </c>
      <c r="P11" s="59">
        <v>7</v>
      </c>
      <c r="Q11" s="59">
        <v>6</v>
      </c>
      <c r="S11" s="40">
        <v>264</v>
      </c>
      <c r="T11" s="40">
        <v>93</v>
      </c>
      <c r="V11" s="40">
        <v>278</v>
      </c>
      <c r="W11" s="40">
        <v>76</v>
      </c>
      <c r="Y11" s="40">
        <v>276</v>
      </c>
      <c r="Z11" s="40">
        <v>79</v>
      </c>
      <c r="AB11" s="59">
        <v>298</v>
      </c>
      <c r="AC11" s="59"/>
      <c r="AE11" s="59">
        <v>215</v>
      </c>
      <c r="AF11" s="59">
        <v>13</v>
      </c>
      <c r="AG11" s="59">
        <v>20</v>
      </c>
      <c r="AH11" s="59">
        <v>15</v>
      </c>
      <c r="AJ11" s="40">
        <v>142</v>
      </c>
      <c r="AK11" s="40">
        <v>195</v>
      </c>
      <c r="AM11" s="40">
        <v>212</v>
      </c>
      <c r="AN11" s="40">
        <v>120</v>
      </c>
      <c r="AP11" s="40">
        <v>374</v>
      </c>
      <c r="AQ11" s="237">
        <v>161</v>
      </c>
      <c r="AR11" s="237">
        <v>227</v>
      </c>
      <c r="AS11" s="237">
        <f>7+3</f>
        <v>10</v>
      </c>
    </row>
    <row r="12" spans="1:45" x14ac:dyDescent="0.25">
      <c r="A12" s="191" t="s">
        <v>630</v>
      </c>
      <c r="C12" s="40">
        <v>261</v>
      </c>
      <c r="D12" s="40">
        <v>110</v>
      </c>
      <c r="E12" s="40">
        <v>2</v>
      </c>
      <c r="F12" s="40">
        <v>2</v>
      </c>
      <c r="G12" s="40">
        <v>0</v>
      </c>
      <c r="I12" s="40">
        <v>261</v>
      </c>
      <c r="J12" s="40">
        <v>105</v>
      </c>
      <c r="L12" s="40">
        <v>248</v>
      </c>
      <c r="M12" s="40">
        <v>243</v>
      </c>
      <c r="N12" s="40">
        <v>106</v>
      </c>
      <c r="O12" s="40">
        <v>107</v>
      </c>
      <c r="P12" s="40">
        <v>10</v>
      </c>
      <c r="Q12" s="40">
        <v>5</v>
      </c>
      <c r="S12" s="40">
        <v>254</v>
      </c>
      <c r="T12" s="40">
        <v>111</v>
      </c>
      <c r="V12" s="40">
        <v>268</v>
      </c>
      <c r="W12" s="40">
        <v>98</v>
      </c>
      <c r="Y12" s="40">
        <v>260</v>
      </c>
      <c r="Z12" s="40">
        <v>105</v>
      </c>
      <c r="AB12" s="40">
        <v>294</v>
      </c>
      <c r="AC12" s="40"/>
      <c r="AE12" s="40">
        <v>200</v>
      </c>
      <c r="AF12" s="40">
        <v>11</v>
      </c>
      <c r="AG12" s="40">
        <v>2</v>
      </c>
      <c r="AH12" s="40">
        <v>14</v>
      </c>
      <c r="AJ12" s="40">
        <v>139</v>
      </c>
      <c r="AK12" s="40">
        <v>193</v>
      </c>
      <c r="AM12" s="40">
        <v>202</v>
      </c>
      <c r="AN12" s="40">
        <v>122</v>
      </c>
      <c r="AP12" s="40">
        <v>378</v>
      </c>
      <c r="AQ12" s="233"/>
      <c r="AR12" s="233"/>
      <c r="AS12" s="233"/>
    </row>
    <row r="13" spans="1:45" ht="15.75" thickBot="1" x14ac:dyDescent="0.3"/>
    <row r="14" spans="1:45" ht="15.75" thickBot="1" x14ac:dyDescent="0.3">
      <c r="A14" s="50" t="s">
        <v>8</v>
      </c>
      <c r="B14" s="192"/>
      <c r="C14" s="51">
        <f>+SUM(C11:C12)</f>
        <v>540</v>
      </c>
      <c r="D14" s="51">
        <f t="shared" ref="D14:AN14" si="0">+SUM(D11:D12)</f>
        <v>196</v>
      </c>
      <c r="E14" s="51">
        <f t="shared" ref="E14:W14" si="1">+SUM(E11:E12)</f>
        <v>5</v>
      </c>
      <c r="F14" s="51">
        <f t="shared" si="1"/>
        <v>5</v>
      </c>
      <c r="G14" s="51">
        <f t="shared" si="1"/>
        <v>0</v>
      </c>
      <c r="I14" s="51">
        <f t="shared" ref="I14:P14" si="2">+SUM(I11:I12)</f>
        <v>544</v>
      </c>
      <c r="J14" s="51">
        <f t="shared" si="2"/>
        <v>184</v>
      </c>
      <c r="L14" s="51">
        <f t="shared" si="2"/>
        <v>511</v>
      </c>
      <c r="M14" s="51">
        <f t="shared" si="2"/>
        <v>503</v>
      </c>
      <c r="N14" s="51">
        <f t="shared" si="2"/>
        <v>192</v>
      </c>
      <c r="O14" s="51">
        <f t="shared" si="2"/>
        <v>193</v>
      </c>
      <c r="P14" s="51">
        <f t="shared" si="2"/>
        <v>17</v>
      </c>
      <c r="Q14" s="51">
        <f t="shared" si="1"/>
        <v>11</v>
      </c>
      <c r="S14" s="51">
        <f t="shared" si="1"/>
        <v>518</v>
      </c>
      <c r="T14" s="51">
        <f t="shared" si="1"/>
        <v>204</v>
      </c>
      <c r="V14" s="51">
        <f t="shared" si="1"/>
        <v>546</v>
      </c>
      <c r="W14" s="51">
        <f t="shared" si="1"/>
        <v>174</v>
      </c>
      <c r="Y14" s="51">
        <f t="shared" si="0"/>
        <v>536</v>
      </c>
      <c r="Z14" s="51">
        <f t="shared" si="0"/>
        <v>184</v>
      </c>
      <c r="AB14" s="51">
        <f t="shared" si="0"/>
        <v>592</v>
      </c>
      <c r="AC14" s="51">
        <f t="shared" si="0"/>
        <v>0</v>
      </c>
      <c r="AE14" s="51">
        <f t="shared" si="0"/>
        <v>415</v>
      </c>
      <c r="AF14" s="51">
        <f t="shared" si="0"/>
        <v>24</v>
      </c>
      <c r="AG14" s="51">
        <f t="shared" si="0"/>
        <v>22</v>
      </c>
      <c r="AH14" s="51">
        <f t="shared" si="0"/>
        <v>29</v>
      </c>
      <c r="AJ14" s="51">
        <f t="shared" si="0"/>
        <v>281</v>
      </c>
      <c r="AK14" s="51">
        <f t="shared" si="0"/>
        <v>388</v>
      </c>
      <c r="AM14" s="51">
        <f t="shared" si="0"/>
        <v>414</v>
      </c>
      <c r="AN14" s="51">
        <f t="shared" si="0"/>
        <v>242</v>
      </c>
      <c r="AP14" s="51">
        <f t="shared" ref="AP14:AS14" si="3">+SUM(AP11:AP12)</f>
        <v>752</v>
      </c>
      <c r="AQ14" s="51">
        <f t="shared" si="3"/>
        <v>161</v>
      </c>
      <c r="AR14" s="51">
        <f t="shared" si="3"/>
        <v>227</v>
      </c>
      <c r="AS14" s="51">
        <f t="shared" si="3"/>
        <v>10</v>
      </c>
    </row>
    <row r="15" spans="1:45" x14ac:dyDescent="0.25">
      <c r="A15" s="92" t="s">
        <v>146</v>
      </c>
      <c r="B15" s="192"/>
      <c r="C15" s="53">
        <v>88</v>
      </c>
      <c r="D15" s="53">
        <v>71</v>
      </c>
      <c r="E15" s="53">
        <v>0</v>
      </c>
      <c r="F15" s="53">
        <v>0</v>
      </c>
      <c r="G15" s="53">
        <v>1</v>
      </c>
      <c r="I15" s="53">
        <v>89</v>
      </c>
      <c r="J15" s="53">
        <v>66</v>
      </c>
      <c r="L15" s="53">
        <v>88</v>
      </c>
      <c r="M15" s="53">
        <v>82</v>
      </c>
      <c r="N15" s="53">
        <v>69</v>
      </c>
      <c r="O15" s="53">
        <v>69</v>
      </c>
      <c r="P15" s="53">
        <v>0</v>
      </c>
      <c r="Q15" s="53">
        <v>0</v>
      </c>
      <c r="S15" s="53">
        <v>84</v>
      </c>
      <c r="T15" s="53">
        <v>72</v>
      </c>
      <c r="V15" s="53">
        <v>92</v>
      </c>
      <c r="W15" s="53">
        <v>62</v>
      </c>
      <c r="Y15" s="53">
        <v>90</v>
      </c>
      <c r="Z15" s="53">
        <v>63</v>
      </c>
      <c r="AB15" s="53">
        <v>113</v>
      </c>
      <c r="AC15" s="53"/>
      <c r="AE15" s="53">
        <v>77</v>
      </c>
      <c r="AF15" s="53">
        <v>0</v>
      </c>
      <c r="AG15" s="53">
        <v>1</v>
      </c>
      <c r="AH15" s="53">
        <v>0</v>
      </c>
      <c r="AJ15" s="53">
        <v>68</v>
      </c>
      <c r="AK15" s="53">
        <v>84</v>
      </c>
      <c r="AM15" s="53">
        <v>91</v>
      </c>
      <c r="AN15" s="53">
        <v>60</v>
      </c>
      <c r="AP15" s="93"/>
      <c r="AQ15" s="93"/>
      <c r="AR15" s="93"/>
      <c r="AS15" s="93"/>
    </row>
    <row r="16" spans="1:45" x14ac:dyDescent="0.25">
      <c r="A16" s="92" t="s">
        <v>43</v>
      </c>
      <c r="B16" s="192"/>
      <c r="C16" s="41">
        <v>82</v>
      </c>
      <c r="D16" s="41">
        <v>143</v>
      </c>
      <c r="E16" s="41">
        <v>0</v>
      </c>
      <c r="F16" s="41">
        <v>0</v>
      </c>
      <c r="G16" s="41">
        <v>0</v>
      </c>
      <c r="I16" s="41">
        <v>88</v>
      </c>
      <c r="J16" s="41">
        <v>132</v>
      </c>
      <c r="L16" s="41">
        <v>83</v>
      </c>
      <c r="M16" s="41">
        <v>80</v>
      </c>
      <c r="N16" s="41">
        <v>140</v>
      </c>
      <c r="O16" s="41">
        <v>134</v>
      </c>
      <c r="P16" s="41">
        <v>4</v>
      </c>
      <c r="Q16" s="41">
        <v>3</v>
      </c>
      <c r="S16" s="41">
        <v>80</v>
      </c>
      <c r="T16" s="41">
        <v>143</v>
      </c>
      <c r="V16" s="41">
        <v>86</v>
      </c>
      <c r="W16" s="41">
        <v>135</v>
      </c>
      <c r="Y16" s="41">
        <v>79</v>
      </c>
      <c r="Z16" s="41">
        <v>141</v>
      </c>
      <c r="AB16" s="41">
        <v>105</v>
      </c>
      <c r="AC16" s="41"/>
      <c r="AE16" s="41">
        <v>139</v>
      </c>
      <c r="AF16" s="41">
        <v>0</v>
      </c>
      <c r="AG16" s="41">
        <v>1</v>
      </c>
      <c r="AH16" s="41">
        <v>0</v>
      </c>
      <c r="AJ16" s="41">
        <v>72</v>
      </c>
      <c r="AK16" s="41">
        <v>144</v>
      </c>
      <c r="AM16" s="41">
        <v>144</v>
      </c>
      <c r="AN16" s="41">
        <v>73</v>
      </c>
      <c r="AP16" s="93"/>
      <c r="AQ16" s="93"/>
      <c r="AR16" s="93"/>
      <c r="AS16" s="93"/>
    </row>
    <row r="17" spans="1:45" x14ac:dyDescent="0.25">
      <c r="A17" s="94" t="s">
        <v>644</v>
      </c>
      <c r="B17" s="192"/>
      <c r="C17" s="95">
        <v>2</v>
      </c>
      <c r="D17" s="95">
        <v>5</v>
      </c>
      <c r="E17" s="95">
        <v>0</v>
      </c>
      <c r="F17" s="95">
        <v>0</v>
      </c>
      <c r="G17" s="95">
        <v>0</v>
      </c>
      <c r="I17" s="95">
        <v>2</v>
      </c>
      <c r="J17" s="95">
        <v>5</v>
      </c>
      <c r="L17" s="95">
        <v>2</v>
      </c>
      <c r="M17" s="95">
        <v>2</v>
      </c>
      <c r="N17" s="95">
        <v>5</v>
      </c>
      <c r="O17" s="95">
        <v>5</v>
      </c>
      <c r="P17" s="95">
        <v>0</v>
      </c>
      <c r="Q17" s="95">
        <v>0</v>
      </c>
      <c r="S17" s="95">
        <v>2</v>
      </c>
      <c r="T17" s="95">
        <v>5</v>
      </c>
      <c r="V17" s="95">
        <v>2</v>
      </c>
      <c r="W17" s="95">
        <v>5</v>
      </c>
      <c r="Y17" s="95">
        <v>2</v>
      </c>
      <c r="Z17" s="95">
        <v>5</v>
      </c>
      <c r="AB17" s="95">
        <v>3</v>
      </c>
      <c r="AC17" s="95"/>
      <c r="AE17" s="95">
        <v>1</v>
      </c>
      <c r="AF17" s="95">
        <v>0</v>
      </c>
      <c r="AG17" s="95">
        <v>0</v>
      </c>
      <c r="AH17" s="95">
        <v>0</v>
      </c>
      <c r="AJ17" s="95">
        <v>2</v>
      </c>
      <c r="AK17" s="95">
        <v>3</v>
      </c>
      <c r="AM17" s="95">
        <v>5</v>
      </c>
      <c r="AN17" s="95">
        <v>0</v>
      </c>
      <c r="AP17" s="93"/>
      <c r="AQ17" s="93"/>
      <c r="AR17" s="93"/>
      <c r="AS17" s="93"/>
    </row>
    <row r="18" spans="1:45" x14ac:dyDescent="0.25">
      <c r="A18" s="94" t="s">
        <v>645</v>
      </c>
      <c r="B18" s="192"/>
      <c r="C18" s="95">
        <v>3</v>
      </c>
      <c r="D18" s="95">
        <v>0</v>
      </c>
      <c r="E18" s="95">
        <v>0</v>
      </c>
      <c r="F18" s="95">
        <v>0</v>
      </c>
      <c r="G18" s="95">
        <v>0</v>
      </c>
      <c r="I18" s="95">
        <v>3</v>
      </c>
      <c r="J18" s="95">
        <v>0</v>
      </c>
      <c r="L18" s="95">
        <v>3</v>
      </c>
      <c r="M18" s="95">
        <v>3</v>
      </c>
      <c r="N18" s="95">
        <v>0</v>
      </c>
      <c r="O18" s="95">
        <v>0</v>
      </c>
      <c r="P18" s="95">
        <v>0</v>
      </c>
      <c r="Q18" s="95">
        <v>0</v>
      </c>
      <c r="S18" s="95">
        <v>3</v>
      </c>
      <c r="T18" s="95">
        <v>0</v>
      </c>
      <c r="V18" s="95">
        <v>3</v>
      </c>
      <c r="W18" s="95">
        <v>0</v>
      </c>
      <c r="Y18" s="95">
        <v>3</v>
      </c>
      <c r="Z18" s="95">
        <v>0</v>
      </c>
      <c r="AB18" s="95">
        <v>2</v>
      </c>
      <c r="AC18" s="95"/>
      <c r="AE18" s="95">
        <v>1</v>
      </c>
      <c r="AF18" s="95">
        <v>0</v>
      </c>
      <c r="AG18" s="95">
        <v>0</v>
      </c>
      <c r="AH18" s="95">
        <v>0</v>
      </c>
      <c r="AJ18" s="95">
        <v>2</v>
      </c>
      <c r="AK18" s="95">
        <v>1</v>
      </c>
      <c r="AM18" s="95">
        <v>1</v>
      </c>
      <c r="AN18" s="95">
        <v>2</v>
      </c>
      <c r="AP18" s="93"/>
      <c r="AQ18" s="93"/>
      <c r="AR18" s="93"/>
      <c r="AS18" s="93"/>
    </row>
    <row r="19" spans="1:45" ht="15.75" thickBot="1" x14ac:dyDescent="0.3">
      <c r="A19" s="94" t="s">
        <v>651</v>
      </c>
      <c r="B19" s="192"/>
      <c r="C19" s="95">
        <f>1</f>
        <v>1</v>
      </c>
      <c r="D19" s="95">
        <v>0</v>
      </c>
      <c r="E19" s="95">
        <v>0</v>
      </c>
      <c r="F19" s="95">
        <v>0</v>
      </c>
      <c r="G19" s="95">
        <v>0</v>
      </c>
      <c r="I19" s="95">
        <f>1</f>
        <v>1</v>
      </c>
      <c r="J19" s="95">
        <v>0</v>
      </c>
      <c r="L19" s="95">
        <f>1</f>
        <v>1</v>
      </c>
      <c r="M19" s="95">
        <f>1</f>
        <v>1</v>
      </c>
      <c r="N19" s="95">
        <v>0</v>
      </c>
      <c r="O19" s="95">
        <v>0</v>
      </c>
      <c r="P19" s="95">
        <v>0</v>
      </c>
      <c r="Q19" s="95">
        <v>0</v>
      </c>
      <c r="S19" s="95">
        <f>1</f>
        <v>1</v>
      </c>
      <c r="T19" s="95">
        <v>0</v>
      </c>
      <c r="V19" s="95">
        <f>0</f>
        <v>0</v>
      </c>
      <c r="W19" s="95">
        <f>1</f>
        <v>1</v>
      </c>
      <c r="Y19" s="95">
        <v>0</v>
      </c>
      <c r="Z19" s="95">
        <f>1</f>
        <v>1</v>
      </c>
      <c r="AB19" s="95">
        <f>1</f>
        <v>1</v>
      </c>
      <c r="AC19" s="95"/>
      <c r="AE19" s="95">
        <f>1</f>
        <v>1</v>
      </c>
      <c r="AF19" s="95">
        <v>0</v>
      </c>
      <c r="AG19" s="95">
        <v>0</v>
      </c>
      <c r="AH19" s="95">
        <v>0</v>
      </c>
      <c r="AJ19" s="95">
        <v>0</v>
      </c>
      <c r="AK19" s="95">
        <f>1</f>
        <v>1</v>
      </c>
      <c r="AM19" s="95">
        <v>0</v>
      </c>
      <c r="AN19" s="95">
        <f>1</f>
        <v>1</v>
      </c>
      <c r="AP19" s="93"/>
      <c r="AQ19" s="93"/>
      <c r="AR19" s="93"/>
      <c r="AS19" s="93"/>
    </row>
    <row r="20" spans="1:45" ht="15.75" thickBot="1" x14ac:dyDescent="0.3">
      <c r="A20" s="50" t="s">
        <v>45</v>
      </c>
      <c r="B20" s="192"/>
      <c r="C20" s="51">
        <f>+SUM(C14:C19)</f>
        <v>716</v>
      </c>
      <c r="D20" s="51">
        <f t="shared" ref="D20:G20" si="4">+SUM(D14:D19)</f>
        <v>415</v>
      </c>
      <c r="E20" s="51">
        <f t="shared" si="4"/>
        <v>5</v>
      </c>
      <c r="F20" s="51">
        <f t="shared" si="4"/>
        <v>5</v>
      </c>
      <c r="G20" s="51">
        <f t="shared" si="4"/>
        <v>1</v>
      </c>
      <c r="I20" s="51">
        <f t="shared" ref="I20:J20" si="5">+SUM(I14:I19)</f>
        <v>727</v>
      </c>
      <c r="J20" s="51">
        <f t="shared" si="5"/>
        <v>387</v>
      </c>
      <c r="L20" s="51">
        <f t="shared" ref="L20:Q20" si="6">+SUM(L14:L19)</f>
        <v>688</v>
      </c>
      <c r="M20" s="51">
        <f t="shared" si="6"/>
        <v>671</v>
      </c>
      <c r="N20" s="51">
        <f t="shared" si="6"/>
        <v>406</v>
      </c>
      <c r="O20" s="51">
        <f t="shared" si="6"/>
        <v>401</v>
      </c>
      <c r="P20" s="51">
        <f t="shared" si="6"/>
        <v>21</v>
      </c>
      <c r="Q20" s="51">
        <f t="shared" si="6"/>
        <v>14</v>
      </c>
      <c r="S20" s="51">
        <f t="shared" ref="S20:T20" si="7">+SUM(S14:S19)</f>
        <v>688</v>
      </c>
      <c r="T20" s="51">
        <f t="shared" si="7"/>
        <v>424</v>
      </c>
      <c r="V20" s="51">
        <f t="shared" ref="V20:W20" si="8">+SUM(V14:V19)</f>
        <v>729</v>
      </c>
      <c r="W20" s="51">
        <f t="shared" si="8"/>
        <v>377</v>
      </c>
      <c r="Y20" s="51">
        <f t="shared" ref="Y20:Z20" si="9">+SUM(Y14:Y19)</f>
        <v>710</v>
      </c>
      <c r="Z20" s="51">
        <f t="shared" si="9"/>
        <v>394</v>
      </c>
      <c r="AB20" s="51">
        <f t="shared" ref="AB20:AC20" si="10">+SUM(AB14:AB19)</f>
        <v>816</v>
      </c>
      <c r="AC20" s="51">
        <f t="shared" si="10"/>
        <v>0</v>
      </c>
      <c r="AE20" s="51">
        <f t="shared" ref="AE20:AH20" si="11">+SUM(AE14:AE19)</f>
        <v>634</v>
      </c>
      <c r="AF20" s="51">
        <f t="shared" si="11"/>
        <v>24</v>
      </c>
      <c r="AG20" s="51">
        <f t="shared" si="11"/>
        <v>24</v>
      </c>
      <c r="AH20" s="51">
        <f t="shared" si="11"/>
        <v>29</v>
      </c>
      <c r="AJ20" s="51">
        <f t="shared" ref="AJ20:AK20" si="12">+SUM(AJ14:AJ19)</f>
        <v>425</v>
      </c>
      <c r="AK20" s="51">
        <f t="shared" si="12"/>
        <v>621</v>
      </c>
      <c r="AM20" s="51">
        <f t="shared" ref="AM20:AN20" si="13">+SUM(AM14:AM19)</f>
        <v>655</v>
      </c>
      <c r="AN20" s="51">
        <f t="shared" si="13"/>
        <v>378</v>
      </c>
      <c r="AP20" s="96"/>
      <c r="AQ20" s="96"/>
      <c r="AR20" s="96"/>
      <c r="AS20" s="96"/>
    </row>
  </sheetData>
  <mergeCells count="22">
    <mergeCell ref="S3:T3"/>
    <mergeCell ref="V3:W3"/>
    <mergeCell ref="Y3:Z3"/>
    <mergeCell ref="AB3:AC3"/>
    <mergeCell ref="AE2:AH2"/>
    <mergeCell ref="AE3:AH3"/>
    <mergeCell ref="AB2:AC2"/>
    <mergeCell ref="C2:G2"/>
    <mergeCell ref="I2:Q2"/>
    <mergeCell ref="C3:G3"/>
    <mergeCell ref="I3:J3"/>
    <mergeCell ref="L3:Q3"/>
    <mergeCell ref="AR11:AR12"/>
    <mergeCell ref="AQ11:AQ12"/>
    <mergeCell ref="AP2:AS3"/>
    <mergeCell ref="AJ6:AJ8"/>
    <mergeCell ref="AK6:AK8"/>
    <mergeCell ref="AM6:AM8"/>
    <mergeCell ref="AN6:AN8"/>
    <mergeCell ref="AJ3:AK3"/>
    <mergeCell ref="AM3:AN3"/>
    <mergeCell ref="AS11:AS12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7" max="1048575" man="1"/>
    <brk id="3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9"/>
  <sheetViews>
    <sheetView zoomScale="75" zoomScaleNormal="75" workbookViewId="0">
      <pane xSplit="1" ySplit="10" topLeftCell="B14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style="1" customWidth="1"/>
    <col min="2" max="2" width="1.7109375" style="1" customWidth="1"/>
    <col min="3" max="6" width="14" style="1" customWidth="1"/>
    <col min="7" max="7" width="14.7109375" style="1" customWidth="1"/>
    <col min="8" max="8" width="1.7109375" style="1" customWidth="1"/>
    <col min="9" max="10" width="14" style="1" customWidth="1"/>
    <col min="11" max="11" width="1.7109375" style="1" customWidth="1"/>
    <col min="12" max="13" width="14" style="1" customWidth="1"/>
    <col min="14" max="15" width="14" style="2" customWidth="1"/>
    <col min="16" max="16" width="1.7109375" style="1" customWidth="1"/>
    <col min="17" max="17" width="14.85546875" style="2" customWidth="1"/>
    <col min="18" max="18" width="13.42578125" style="2" customWidth="1"/>
    <col min="19" max="19" width="1.7109375" style="1" customWidth="1"/>
    <col min="20" max="20" width="12.7109375" style="1" customWidth="1"/>
    <col min="21" max="21" width="12.7109375" style="2" customWidth="1"/>
    <col min="22" max="22" width="1.7109375" style="1" customWidth="1"/>
    <col min="23" max="24" width="12.7109375" style="1" customWidth="1"/>
    <col min="25" max="25" width="1.7109375" style="1" customWidth="1"/>
    <col min="26" max="27" width="12.7109375" style="2" customWidth="1"/>
    <col min="28" max="28" width="13.7109375" style="1" customWidth="1"/>
    <col min="29" max="29" width="15.7109375" style="1" customWidth="1"/>
    <col min="30" max="30" width="13.7109375" style="1" customWidth="1"/>
    <col min="31" max="31" width="13.7109375" style="2" customWidth="1"/>
    <col min="32" max="32" width="1.7109375" style="1" customWidth="1"/>
    <col min="33" max="34" width="12.7109375" style="1" customWidth="1"/>
    <col min="35" max="35" width="13.7109375" style="1" customWidth="1"/>
    <col min="36" max="38" width="12.7109375" style="1" customWidth="1"/>
    <col min="39" max="39" width="1.7109375" style="1" customWidth="1"/>
    <col min="40" max="46" width="12.7109375" style="1" customWidth="1"/>
    <col min="47" max="47" width="1.7109375" style="1" customWidth="1"/>
    <col min="48" max="49" width="14" style="1" customWidth="1"/>
    <col min="50" max="50" width="1.7109375" style="1" customWidth="1"/>
    <col min="51" max="52" width="14" style="1" customWidth="1"/>
    <col min="53" max="53" width="1.7109375" style="1" customWidth="1"/>
    <col min="54" max="54" width="10.140625" style="1" bestFit="1" customWidth="1"/>
    <col min="55" max="55" width="9.42578125" style="1" customWidth="1"/>
    <col min="56" max="56" width="9.5703125" style="1" customWidth="1"/>
    <col min="57" max="57" width="11.140625" style="1" bestFit="1" customWidth="1"/>
    <col min="58" max="16384" width="9.140625" style="1"/>
  </cols>
  <sheetData>
    <row r="1" spans="1:57" x14ac:dyDescent="0.25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7"/>
      <c r="O1" s="7"/>
      <c r="P1" s="9"/>
      <c r="Q1" s="7"/>
      <c r="R1" s="7"/>
      <c r="S1" s="9"/>
      <c r="T1" s="9"/>
      <c r="U1" s="7"/>
      <c r="V1" s="9"/>
      <c r="W1" s="9"/>
      <c r="X1" s="9"/>
      <c r="Y1" s="9"/>
      <c r="Z1" s="7"/>
      <c r="AA1" s="7"/>
      <c r="AB1" s="9"/>
      <c r="AC1" s="9"/>
      <c r="AD1" s="9"/>
      <c r="AE1" s="7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BA1" s="9"/>
    </row>
    <row r="2" spans="1:57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S2" s="9"/>
      <c r="T2" s="80"/>
      <c r="U2" s="81"/>
      <c r="V2" s="9"/>
      <c r="W2" s="112"/>
      <c r="X2" s="113"/>
      <c r="Y2" s="9"/>
      <c r="Z2" s="112"/>
      <c r="AA2" s="125"/>
      <c r="AB2" s="125"/>
      <c r="AC2" s="125"/>
      <c r="AD2" s="125"/>
      <c r="AE2" s="113"/>
      <c r="AF2" s="9"/>
      <c r="AG2" s="112"/>
      <c r="AH2" s="125"/>
      <c r="AI2" s="125"/>
      <c r="AJ2" s="125"/>
      <c r="AK2" s="125"/>
      <c r="AL2" s="113"/>
      <c r="AM2" s="9"/>
      <c r="AN2" s="112"/>
      <c r="AO2" s="125"/>
      <c r="AP2" s="125"/>
      <c r="AQ2" s="125"/>
      <c r="AR2" s="125"/>
      <c r="AS2" s="129"/>
      <c r="AT2" s="81"/>
      <c r="AU2" s="9"/>
      <c r="AV2" s="80"/>
      <c r="AW2" s="81"/>
      <c r="AX2" s="9"/>
      <c r="AY2" s="80"/>
      <c r="AZ2" s="81"/>
      <c r="BA2" s="9"/>
      <c r="BB2" s="234" t="s">
        <v>5</v>
      </c>
      <c r="BC2" s="235"/>
      <c r="BD2" s="235"/>
      <c r="BE2" s="236"/>
    </row>
    <row r="3" spans="1:57" x14ac:dyDescent="0.25">
      <c r="C3" s="222" t="s">
        <v>46</v>
      </c>
      <c r="D3" s="227"/>
      <c r="E3" s="227"/>
      <c r="F3" s="227"/>
      <c r="G3" s="223"/>
      <c r="H3" s="9"/>
      <c r="I3" s="222" t="s">
        <v>88</v>
      </c>
      <c r="J3" s="227"/>
      <c r="K3" s="64"/>
      <c r="L3" s="227" t="s">
        <v>0</v>
      </c>
      <c r="M3" s="227"/>
      <c r="N3" s="227"/>
      <c r="O3" s="223"/>
      <c r="P3" s="88"/>
      <c r="Q3" s="222" t="s">
        <v>121</v>
      </c>
      <c r="R3" s="223"/>
      <c r="S3" s="9"/>
      <c r="T3" s="222" t="s">
        <v>122</v>
      </c>
      <c r="U3" s="223"/>
      <c r="V3" s="9"/>
      <c r="W3" s="222" t="s">
        <v>123</v>
      </c>
      <c r="X3" s="223"/>
      <c r="Y3" s="9"/>
      <c r="Z3" s="222" t="s">
        <v>226</v>
      </c>
      <c r="AA3" s="227"/>
      <c r="AB3" s="227"/>
      <c r="AC3" s="227"/>
      <c r="AD3" s="227"/>
      <c r="AE3" s="223"/>
      <c r="AF3" s="9"/>
      <c r="AG3" s="222" t="s">
        <v>188</v>
      </c>
      <c r="AH3" s="227"/>
      <c r="AI3" s="227"/>
      <c r="AJ3" s="227"/>
      <c r="AK3" s="227"/>
      <c r="AL3" s="223"/>
      <c r="AM3" s="9"/>
      <c r="AN3" s="222" t="s">
        <v>240</v>
      </c>
      <c r="AO3" s="227"/>
      <c r="AP3" s="227"/>
      <c r="AQ3" s="227"/>
      <c r="AR3" s="227"/>
      <c r="AS3" s="227"/>
      <c r="AT3" s="223"/>
      <c r="AU3" s="63"/>
      <c r="AV3" s="222" t="s">
        <v>126</v>
      </c>
      <c r="AW3" s="223"/>
      <c r="AX3" s="9"/>
      <c r="AY3" s="222" t="s">
        <v>127</v>
      </c>
      <c r="AZ3" s="223"/>
      <c r="BA3" s="63"/>
      <c r="BB3" s="219"/>
      <c r="BC3" s="220"/>
      <c r="BD3" s="220"/>
      <c r="BE3" s="221"/>
    </row>
    <row r="4" spans="1:57" ht="5.0999999999999996" customHeight="1" thickBot="1" x14ac:dyDescent="0.3">
      <c r="C4" s="65"/>
      <c r="D4" s="66"/>
      <c r="E4" s="66"/>
      <c r="F4" s="66"/>
      <c r="G4" s="70"/>
      <c r="H4" s="9"/>
      <c r="I4" s="65"/>
      <c r="J4" s="66"/>
      <c r="K4" s="64"/>
      <c r="L4" s="68"/>
      <c r="M4" s="68"/>
      <c r="N4" s="68"/>
      <c r="O4" s="69"/>
      <c r="P4" s="88"/>
      <c r="Q4" s="82"/>
      <c r="R4" s="83"/>
      <c r="S4" s="9"/>
      <c r="T4" s="82"/>
      <c r="U4" s="83"/>
      <c r="V4" s="9"/>
      <c r="W4" s="114"/>
      <c r="X4" s="74"/>
      <c r="Y4" s="9"/>
      <c r="Z4" s="126"/>
      <c r="AA4" s="127"/>
      <c r="AB4" s="127"/>
      <c r="AC4" s="127"/>
      <c r="AD4" s="127"/>
      <c r="AE4" s="128"/>
      <c r="AF4" s="9"/>
      <c r="AG4" s="126"/>
      <c r="AH4" s="127"/>
      <c r="AI4" s="127"/>
      <c r="AJ4" s="127"/>
      <c r="AK4" s="127"/>
      <c r="AL4" s="128"/>
      <c r="AM4" s="9"/>
      <c r="AN4" s="126"/>
      <c r="AO4" s="127"/>
      <c r="AP4" s="127"/>
      <c r="AQ4" s="127"/>
      <c r="AR4" s="127"/>
      <c r="AS4" s="71"/>
      <c r="AT4" s="72"/>
      <c r="AU4" s="63"/>
      <c r="AV4" s="75"/>
      <c r="AW4" s="74"/>
      <c r="AX4" s="9"/>
      <c r="AY4" s="75"/>
      <c r="AZ4" s="74"/>
      <c r="BA4" s="63"/>
      <c r="BB4" s="204"/>
      <c r="BC4" s="205"/>
      <c r="BD4" s="205"/>
      <c r="BE4" s="206"/>
    </row>
    <row r="5" spans="1:57" x14ac:dyDescent="0.25">
      <c r="C5" s="5"/>
      <c r="D5" s="8"/>
      <c r="E5" s="8"/>
      <c r="F5" s="8"/>
      <c r="G5" s="6"/>
      <c r="H5" s="9"/>
      <c r="I5" s="5"/>
      <c r="J5" s="6"/>
      <c r="K5" s="9"/>
      <c r="L5" s="89"/>
      <c r="M5" s="98"/>
      <c r="N5" s="98"/>
      <c r="O5" s="6"/>
      <c r="P5" s="88"/>
      <c r="Q5" s="5"/>
      <c r="R5" s="6"/>
      <c r="S5" s="9"/>
      <c r="T5" s="5"/>
      <c r="U5" s="6"/>
      <c r="V5" s="9"/>
      <c r="W5" s="10"/>
      <c r="X5" s="97"/>
      <c r="Y5" s="9"/>
      <c r="Z5" s="122"/>
      <c r="AA5" s="11"/>
      <c r="AB5" s="123"/>
      <c r="AC5" s="123"/>
      <c r="AD5" s="11"/>
      <c r="AE5" s="12"/>
      <c r="AF5" s="9"/>
      <c r="AG5" s="122"/>
      <c r="AH5" s="123"/>
      <c r="AI5" s="123"/>
      <c r="AJ5" s="123"/>
      <c r="AK5" s="123"/>
      <c r="AL5" s="97"/>
      <c r="AM5" s="9"/>
      <c r="AN5" s="122"/>
      <c r="AO5" s="123"/>
      <c r="AP5" s="123"/>
      <c r="AQ5" s="123"/>
      <c r="AR5" s="123"/>
      <c r="AS5" s="11"/>
      <c r="AT5" s="12"/>
      <c r="AU5" s="7"/>
      <c r="AV5" s="10"/>
      <c r="AW5" s="12"/>
      <c r="AX5" s="9"/>
      <c r="AY5" s="10"/>
      <c r="AZ5" s="12"/>
      <c r="BA5" s="7"/>
      <c r="BB5" s="16"/>
      <c r="BC5" s="17"/>
      <c r="BD5" s="17"/>
      <c r="BE5" s="18"/>
    </row>
    <row r="6" spans="1:57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9"/>
      <c r="I6" s="20" t="str">
        <f>+'Lead Sheet'!S6</f>
        <v>Vince</v>
      </c>
      <c r="J6" s="21" t="str">
        <f>+'Lead Sheet'!T6</f>
        <v>Vince</v>
      </c>
      <c r="K6" s="9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7"/>
      <c r="Q6" s="20" t="str">
        <f>+'Lead Sheet'!AR6</f>
        <v>Joseph J.</v>
      </c>
      <c r="R6" s="21" t="str">
        <f>+'Lead Sheet'!AS6</f>
        <v>Lisa</v>
      </c>
      <c r="S6" s="9"/>
      <c r="T6" s="20" t="str">
        <f>+'Lead Sheet'!AU6</f>
        <v>Frank X.</v>
      </c>
      <c r="U6" s="21" t="str">
        <f>+'Lead Sheet'!AV6</f>
        <v>Celeste</v>
      </c>
      <c r="V6" s="9"/>
      <c r="W6" s="20" t="str">
        <f>+'Lead Sheet'!AX6</f>
        <v>Maureen</v>
      </c>
      <c r="X6" s="21" t="str">
        <f>+'Lead Sheet'!AY6</f>
        <v>Jelani</v>
      </c>
      <c r="Y6" s="9"/>
      <c r="Z6" s="20" t="s">
        <v>195</v>
      </c>
      <c r="AA6" s="7" t="s">
        <v>197</v>
      </c>
      <c r="AB6" s="7" t="s">
        <v>199</v>
      </c>
      <c r="AC6" s="7" t="s">
        <v>201</v>
      </c>
      <c r="AD6" s="7" t="s">
        <v>203</v>
      </c>
      <c r="AE6" s="21" t="s">
        <v>205</v>
      </c>
      <c r="AF6" s="9"/>
      <c r="AG6" s="124" t="s">
        <v>214</v>
      </c>
      <c r="AH6" s="58" t="s">
        <v>216</v>
      </c>
      <c r="AI6" s="58" t="s">
        <v>218</v>
      </c>
      <c r="AJ6" s="58" t="s">
        <v>220</v>
      </c>
      <c r="AK6" s="58" t="s">
        <v>222</v>
      </c>
      <c r="AL6" s="25" t="s">
        <v>224</v>
      </c>
      <c r="AM6" s="9"/>
      <c r="AN6" s="124" t="s">
        <v>227</v>
      </c>
      <c r="AO6" s="58" t="s">
        <v>229</v>
      </c>
      <c r="AP6" s="58" t="s">
        <v>231</v>
      </c>
      <c r="AQ6" s="58" t="s">
        <v>236</v>
      </c>
      <c r="AR6" s="58" t="s">
        <v>234</v>
      </c>
      <c r="AS6" s="7" t="s">
        <v>237</v>
      </c>
      <c r="AT6" s="21" t="s">
        <v>239</v>
      </c>
      <c r="AU6" s="7"/>
      <c r="AV6" s="229" t="s">
        <v>9</v>
      </c>
      <c r="AW6" s="230" t="s">
        <v>10</v>
      </c>
      <c r="AX6" s="9"/>
      <c r="AY6" s="229" t="s">
        <v>9</v>
      </c>
      <c r="AZ6" s="230" t="s">
        <v>10</v>
      </c>
      <c r="BA6" s="7"/>
      <c r="BB6" s="22" t="s">
        <v>8</v>
      </c>
      <c r="BC6" s="23" t="s">
        <v>8</v>
      </c>
      <c r="BD6" s="23" t="s">
        <v>8</v>
      </c>
      <c r="BE6" s="24" t="s">
        <v>8</v>
      </c>
    </row>
    <row r="7" spans="1:57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9"/>
      <c r="I7" s="20" t="str">
        <f>+'Lead Sheet'!S7</f>
        <v>POLISTINA</v>
      </c>
      <c r="J7" s="21" t="str">
        <f>+'Lead Sheet'!T7</f>
        <v>MAZZEO</v>
      </c>
      <c r="K7" s="9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7"/>
      <c r="Q7" s="20" t="str">
        <f>+'Lead Sheet'!AR7</f>
        <v>GIRALO</v>
      </c>
      <c r="R7" s="21" t="str">
        <f>+'Lead Sheet'!AS7</f>
        <v>JIAMPETTI</v>
      </c>
      <c r="S7" s="9"/>
      <c r="T7" s="20" t="str">
        <f>+'Lead Sheet'!AU7</f>
        <v>BALLES</v>
      </c>
      <c r="U7" s="21" t="str">
        <f>+'Lead Sheet'!AV7</f>
        <v>FERNANDEZ</v>
      </c>
      <c r="V7" s="9"/>
      <c r="W7" s="20" t="str">
        <f>+'Lead Sheet'!AX7</f>
        <v>KERN</v>
      </c>
      <c r="X7" s="21" t="str">
        <f>+'Lead Sheet'!AY7</f>
        <v>GANDY</v>
      </c>
      <c r="Y7" s="9"/>
      <c r="Z7" s="20" t="s">
        <v>196</v>
      </c>
      <c r="AA7" s="7" t="s">
        <v>198</v>
      </c>
      <c r="AB7" s="7" t="s">
        <v>200</v>
      </c>
      <c r="AC7" s="7" t="s">
        <v>202</v>
      </c>
      <c r="AD7" s="7" t="s">
        <v>204</v>
      </c>
      <c r="AE7" s="21" t="s">
        <v>206</v>
      </c>
      <c r="AF7" s="9"/>
      <c r="AG7" s="20" t="s">
        <v>215</v>
      </c>
      <c r="AH7" s="7" t="s">
        <v>217</v>
      </c>
      <c r="AI7" s="7" t="s">
        <v>219</v>
      </c>
      <c r="AJ7" s="7" t="s">
        <v>221</v>
      </c>
      <c r="AK7" s="7" t="s">
        <v>223</v>
      </c>
      <c r="AL7" s="21" t="s">
        <v>225</v>
      </c>
      <c r="AM7" s="9"/>
      <c r="AN7" s="20" t="s">
        <v>228</v>
      </c>
      <c r="AO7" s="7" t="s">
        <v>230</v>
      </c>
      <c r="AP7" s="7" t="s">
        <v>232</v>
      </c>
      <c r="AQ7" s="7" t="s">
        <v>233</v>
      </c>
      <c r="AR7" s="7" t="s">
        <v>235</v>
      </c>
      <c r="AS7" s="7" t="s">
        <v>238</v>
      </c>
      <c r="AT7" s="21" t="s">
        <v>241</v>
      </c>
      <c r="AU7" s="7"/>
      <c r="AV7" s="229"/>
      <c r="AW7" s="230"/>
      <c r="AX7" s="9"/>
      <c r="AY7" s="229"/>
      <c r="AZ7" s="230"/>
      <c r="BA7" s="7"/>
      <c r="BB7" s="22" t="s">
        <v>12</v>
      </c>
      <c r="BC7" s="23" t="s">
        <v>158</v>
      </c>
      <c r="BD7" s="23" t="s">
        <v>13</v>
      </c>
      <c r="BE7" s="24" t="s">
        <v>14</v>
      </c>
    </row>
    <row r="8" spans="1:57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9"/>
      <c r="I8" s="20" t="str">
        <f>+'Lead Sheet'!S8</f>
        <v>Republican</v>
      </c>
      <c r="J8" s="21" t="str">
        <f>+'Lead Sheet'!T8</f>
        <v>Democrat</v>
      </c>
      <c r="K8" s="9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7"/>
      <c r="Q8" s="20" t="str">
        <f>+'Lead Sheet'!AR8</f>
        <v>Republican</v>
      </c>
      <c r="R8" s="21" t="str">
        <f>+'Lead Sheet'!AS8</f>
        <v>Democrat</v>
      </c>
      <c r="S8" s="9"/>
      <c r="T8" s="20" t="str">
        <f>+'Lead Sheet'!AU8</f>
        <v>Republican</v>
      </c>
      <c r="U8" s="21" t="str">
        <f>+'Lead Sheet'!AV8</f>
        <v>Democrat</v>
      </c>
      <c r="V8" s="9"/>
      <c r="W8" s="20" t="str">
        <f>+'Lead Sheet'!AX8</f>
        <v>Republican</v>
      </c>
      <c r="X8" s="21" t="str">
        <f>+'Lead Sheet'!AY8</f>
        <v>Democrat</v>
      </c>
      <c r="Y8" s="9"/>
      <c r="Z8" s="20" t="s">
        <v>16</v>
      </c>
      <c r="AA8" s="7" t="s">
        <v>59</v>
      </c>
      <c r="AB8" s="7" t="s">
        <v>212</v>
      </c>
      <c r="AC8" s="7" t="s">
        <v>210</v>
      </c>
      <c r="AD8" s="7" t="s">
        <v>208</v>
      </c>
      <c r="AE8" s="21" t="s">
        <v>207</v>
      </c>
      <c r="AF8" s="9"/>
      <c r="AG8" s="20" t="s">
        <v>16</v>
      </c>
      <c r="AH8" s="7" t="s">
        <v>16</v>
      </c>
      <c r="AI8" s="7" t="s">
        <v>16</v>
      </c>
      <c r="AJ8" s="7" t="s">
        <v>59</v>
      </c>
      <c r="AK8" s="7" t="s">
        <v>59</v>
      </c>
      <c r="AL8" s="21" t="s">
        <v>59</v>
      </c>
      <c r="AM8" s="9"/>
      <c r="AN8" s="20"/>
      <c r="AO8" s="7"/>
      <c r="AP8" s="7"/>
      <c r="AQ8" s="7"/>
      <c r="AR8" s="7"/>
      <c r="AS8" s="7"/>
      <c r="AT8" s="21"/>
      <c r="AU8" s="7"/>
      <c r="AV8" s="229"/>
      <c r="AW8" s="230"/>
      <c r="AX8" s="9"/>
      <c r="AY8" s="229"/>
      <c r="AZ8" s="230"/>
      <c r="BA8" s="7"/>
      <c r="BB8" s="22" t="s">
        <v>18</v>
      </c>
      <c r="BC8" s="23" t="s">
        <v>145</v>
      </c>
      <c r="BD8" s="23" t="s">
        <v>19</v>
      </c>
      <c r="BE8" s="24" t="s">
        <v>18</v>
      </c>
    </row>
    <row r="9" spans="1:57" x14ac:dyDescent="0.25">
      <c r="C9" s="60"/>
      <c r="D9" s="31"/>
      <c r="E9" s="31"/>
      <c r="F9" s="31"/>
      <c r="G9" s="61" t="str">
        <f>+'Lead Sheet'!G9</f>
        <v>Party</v>
      </c>
      <c r="H9" s="9"/>
      <c r="I9" s="20"/>
      <c r="J9" s="21"/>
      <c r="K9" s="9"/>
      <c r="L9" s="20"/>
      <c r="M9" s="7"/>
      <c r="N9" s="7"/>
      <c r="O9" s="21"/>
      <c r="P9" s="7"/>
      <c r="Q9" s="20"/>
      <c r="R9" s="21"/>
      <c r="S9" s="9"/>
      <c r="T9" s="20"/>
      <c r="U9" s="21"/>
      <c r="V9" s="9"/>
      <c r="W9" s="20"/>
      <c r="X9" s="21"/>
      <c r="Y9" s="9"/>
      <c r="Z9" s="20"/>
      <c r="AA9" s="7"/>
      <c r="AB9" s="7" t="s">
        <v>213</v>
      </c>
      <c r="AC9" s="7" t="s">
        <v>211</v>
      </c>
      <c r="AD9" s="7" t="s">
        <v>209</v>
      </c>
      <c r="AE9" s="21" t="s">
        <v>61</v>
      </c>
      <c r="AF9" s="9"/>
      <c r="AG9" s="20"/>
      <c r="AH9" s="7"/>
      <c r="AI9" s="7"/>
      <c r="AJ9" s="7"/>
      <c r="AK9" s="7"/>
      <c r="AL9" s="21"/>
      <c r="AM9" s="9"/>
      <c r="AN9" s="20"/>
      <c r="AO9" s="7"/>
      <c r="AP9" s="7"/>
      <c r="AQ9" s="7"/>
      <c r="AR9" s="7"/>
      <c r="AS9" s="7"/>
      <c r="AT9" s="21"/>
      <c r="AU9" s="7"/>
      <c r="AV9" s="27"/>
      <c r="AW9" s="28"/>
      <c r="AX9" s="9"/>
      <c r="AY9" s="27"/>
      <c r="AZ9" s="28"/>
      <c r="BA9" s="7"/>
      <c r="BB9" s="119"/>
      <c r="BC9" s="118"/>
      <c r="BD9" s="118"/>
      <c r="BE9" s="120"/>
    </row>
    <row r="10" spans="1:57" ht="5.0999999999999996" customHeight="1" thickBot="1" x14ac:dyDescent="0.3">
      <c r="C10" s="29"/>
      <c r="D10" s="32"/>
      <c r="E10" s="32"/>
      <c r="F10" s="32"/>
      <c r="G10" s="30"/>
      <c r="H10" s="9"/>
      <c r="I10" s="33"/>
      <c r="J10" s="35"/>
      <c r="K10" s="9"/>
      <c r="L10" s="33"/>
      <c r="M10" s="34"/>
      <c r="N10" s="34"/>
      <c r="O10" s="35"/>
      <c r="P10" s="2"/>
      <c r="Q10" s="33"/>
      <c r="R10" s="35"/>
      <c r="S10" s="9"/>
      <c r="T10" s="33"/>
      <c r="U10" s="35"/>
      <c r="V10" s="9"/>
      <c r="W10" s="33"/>
      <c r="X10" s="35"/>
      <c r="Y10" s="9"/>
      <c r="Z10" s="33"/>
      <c r="AA10" s="34"/>
      <c r="AB10" s="34"/>
      <c r="AC10" s="34"/>
      <c r="AD10" s="34"/>
      <c r="AE10" s="35"/>
      <c r="AF10" s="9"/>
      <c r="AG10" s="33"/>
      <c r="AH10" s="34"/>
      <c r="AI10" s="34"/>
      <c r="AJ10" s="34"/>
      <c r="AK10" s="34"/>
      <c r="AL10" s="35"/>
      <c r="AM10" s="9"/>
      <c r="AN10" s="33"/>
      <c r="AO10" s="34"/>
      <c r="AP10" s="34"/>
      <c r="AQ10" s="34"/>
      <c r="AR10" s="34"/>
      <c r="AS10" s="34"/>
      <c r="AT10" s="35"/>
      <c r="AU10" s="7"/>
      <c r="AV10" s="36"/>
      <c r="AW10" s="38"/>
      <c r="AX10" s="9"/>
      <c r="AY10" s="36"/>
      <c r="AZ10" s="38"/>
      <c r="BA10" s="7"/>
      <c r="BB10" s="33"/>
      <c r="BC10" s="34"/>
      <c r="BD10" s="34"/>
      <c r="BE10" s="35"/>
    </row>
    <row r="11" spans="1:57" x14ac:dyDescent="0.25">
      <c r="A11" s="1" t="s">
        <v>160</v>
      </c>
      <c r="C11" s="40">
        <v>83</v>
      </c>
      <c r="D11" s="40">
        <v>216</v>
      </c>
      <c r="E11" s="40">
        <v>1</v>
      </c>
      <c r="F11" s="40">
        <v>0</v>
      </c>
      <c r="G11" s="40">
        <v>0</v>
      </c>
      <c r="I11" s="40">
        <v>77</v>
      </c>
      <c r="J11" s="40">
        <v>205</v>
      </c>
      <c r="L11" s="40">
        <v>97</v>
      </c>
      <c r="M11" s="40">
        <v>79</v>
      </c>
      <c r="N11" s="40">
        <v>184</v>
      </c>
      <c r="O11" s="40">
        <v>189</v>
      </c>
      <c r="Q11" s="40">
        <v>73</v>
      </c>
      <c r="R11" s="40">
        <v>195</v>
      </c>
      <c r="T11" s="40">
        <v>74</v>
      </c>
      <c r="U11" s="42">
        <v>190</v>
      </c>
      <c r="W11" s="77"/>
      <c r="X11" s="77"/>
      <c r="Z11" s="77">
        <v>75</v>
      </c>
      <c r="AA11" s="77">
        <v>173</v>
      </c>
      <c r="AB11" s="77">
        <v>17</v>
      </c>
      <c r="AC11" s="77">
        <v>18</v>
      </c>
      <c r="AD11" s="77">
        <v>4</v>
      </c>
      <c r="AE11" s="77">
        <v>15</v>
      </c>
      <c r="AG11" s="59">
        <v>76</v>
      </c>
      <c r="AH11" s="59">
        <v>66</v>
      </c>
      <c r="AI11" s="59">
        <v>64</v>
      </c>
      <c r="AJ11" s="59">
        <v>190</v>
      </c>
      <c r="AK11" s="59">
        <v>178</v>
      </c>
      <c r="AL11" s="59">
        <v>188</v>
      </c>
      <c r="AN11" s="59">
        <v>68</v>
      </c>
      <c r="AO11" s="59">
        <v>49</v>
      </c>
      <c r="AP11" s="59">
        <v>50</v>
      </c>
      <c r="AQ11" s="59">
        <v>28</v>
      </c>
      <c r="AR11" s="59">
        <v>100</v>
      </c>
      <c r="AS11" s="59">
        <v>85</v>
      </c>
      <c r="AT11" s="59">
        <v>76</v>
      </c>
      <c r="AU11" s="31"/>
      <c r="AV11" s="40">
        <v>97</v>
      </c>
      <c r="AW11" s="40">
        <v>59</v>
      </c>
      <c r="AY11" s="40">
        <v>108</v>
      </c>
      <c r="AZ11" s="40">
        <v>34</v>
      </c>
      <c r="BA11" s="31"/>
      <c r="BB11" s="59">
        <v>317</v>
      </c>
      <c r="BC11" s="237">
        <v>129</v>
      </c>
      <c r="BD11" s="237">
        <v>835</v>
      </c>
      <c r="BE11" s="237">
        <f>10+76</f>
        <v>86</v>
      </c>
    </row>
    <row r="12" spans="1:57" x14ac:dyDescent="0.25">
      <c r="A12" s="1" t="s">
        <v>161</v>
      </c>
      <c r="C12" s="40">
        <v>21</v>
      </c>
      <c r="D12" s="40">
        <v>72</v>
      </c>
      <c r="E12" s="40">
        <v>0</v>
      </c>
      <c r="F12" s="40">
        <v>0</v>
      </c>
      <c r="G12" s="40">
        <v>0</v>
      </c>
      <c r="I12" s="40">
        <v>15</v>
      </c>
      <c r="J12" s="40">
        <v>76</v>
      </c>
      <c r="L12" s="40">
        <v>20</v>
      </c>
      <c r="M12" s="40">
        <v>17</v>
      </c>
      <c r="N12" s="40">
        <v>69</v>
      </c>
      <c r="O12" s="40">
        <v>64</v>
      </c>
      <c r="Q12" s="40">
        <v>19</v>
      </c>
      <c r="R12" s="40">
        <v>66</v>
      </c>
      <c r="T12" s="40">
        <v>18</v>
      </c>
      <c r="U12" s="42">
        <v>65</v>
      </c>
      <c r="W12" s="42"/>
      <c r="X12" s="42"/>
      <c r="Z12" s="42">
        <v>16</v>
      </c>
      <c r="AA12" s="42">
        <v>62</v>
      </c>
      <c r="AB12" s="42">
        <v>6</v>
      </c>
      <c r="AC12" s="42">
        <v>3</v>
      </c>
      <c r="AD12" s="42">
        <v>0</v>
      </c>
      <c r="AE12" s="42">
        <v>2</v>
      </c>
      <c r="AG12" s="40">
        <v>16</v>
      </c>
      <c r="AH12" s="40">
        <v>18</v>
      </c>
      <c r="AI12" s="40">
        <v>15</v>
      </c>
      <c r="AJ12" s="40">
        <v>66</v>
      </c>
      <c r="AK12" s="40">
        <v>62</v>
      </c>
      <c r="AL12" s="40">
        <v>66</v>
      </c>
      <c r="AN12" s="40">
        <v>24</v>
      </c>
      <c r="AO12" s="40">
        <v>19</v>
      </c>
      <c r="AP12" s="40">
        <v>24</v>
      </c>
      <c r="AQ12" s="40">
        <v>6</v>
      </c>
      <c r="AR12" s="40">
        <v>35</v>
      </c>
      <c r="AS12" s="40">
        <v>26</v>
      </c>
      <c r="AT12" s="40">
        <v>22</v>
      </c>
      <c r="AU12" s="31"/>
      <c r="AV12" s="40">
        <v>33</v>
      </c>
      <c r="AW12" s="40">
        <v>18</v>
      </c>
      <c r="AY12" s="40">
        <v>33</v>
      </c>
      <c r="AZ12" s="40">
        <v>12</v>
      </c>
      <c r="BA12" s="31"/>
      <c r="BB12" s="40">
        <v>94</v>
      </c>
      <c r="BC12" s="232"/>
      <c r="BD12" s="232"/>
      <c r="BE12" s="232"/>
    </row>
    <row r="13" spans="1:57" x14ac:dyDescent="0.25">
      <c r="A13" s="1" t="s">
        <v>162</v>
      </c>
      <c r="C13" s="40">
        <v>37</v>
      </c>
      <c r="D13" s="40">
        <v>108</v>
      </c>
      <c r="E13" s="40">
        <v>1</v>
      </c>
      <c r="F13" s="40">
        <v>2</v>
      </c>
      <c r="G13" s="40">
        <v>0</v>
      </c>
      <c r="I13" s="40">
        <v>34</v>
      </c>
      <c r="J13" s="40">
        <v>112</v>
      </c>
      <c r="L13" s="40">
        <v>40</v>
      </c>
      <c r="M13" s="40">
        <v>36</v>
      </c>
      <c r="N13" s="40">
        <v>103</v>
      </c>
      <c r="O13" s="40">
        <v>101</v>
      </c>
      <c r="Q13" s="40">
        <v>37</v>
      </c>
      <c r="R13" s="40">
        <v>103</v>
      </c>
      <c r="T13" s="40">
        <v>38</v>
      </c>
      <c r="U13" s="42">
        <v>102</v>
      </c>
      <c r="W13" s="42"/>
      <c r="X13" s="42"/>
      <c r="Z13" s="42">
        <v>29</v>
      </c>
      <c r="AA13" s="42">
        <v>102</v>
      </c>
      <c r="AB13" s="42">
        <v>6</v>
      </c>
      <c r="AC13" s="42">
        <v>7</v>
      </c>
      <c r="AD13" s="42">
        <v>1</v>
      </c>
      <c r="AE13" s="42">
        <v>9</v>
      </c>
      <c r="AG13" s="40">
        <v>40</v>
      </c>
      <c r="AH13" s="40">
        <v>36</v>
      </c>
      <c r="AI13" s="40">
        <v>39</v>
      </c>
      <c r="AJ13" s="40">
        <v>104</v>
      </c>
      <c r="AK13" s="40">
        <v>101</v>
      </c>
      <c r="AL13" s="40">
        <v>105</v>
      </c>
      <c r="AN13" s="40">
        <v>30</v>
      </c>
      <c r="AO13" s="40">
        <v>19</v>
      </c>
      <c r="AP13" s="40">
        <v>28</v>
      </c>
      <c r="AQ13" s="40">
        <v>14</v>
      </c>
      <c r="AR13" s="40">
        <v>56</v>
      </c>
      <c r="AS13" s="40">
        <v>40</v>
      </c>
      <c r="AT13" s="40">
        <v>35</v>
      </c>
      <c r="AU13" s="31"/>
      <c r="AV13" s="40">
        <v>46</v>
      </c>
      <c r="AW13" s="40">
        <v>30</v>
      </c>
      <c r="AY13" s="40">
        <v>46</v>
      </c>
      <c r="AZ13" s="40">
        <v>22</v>
      </c>
      <c r="BA13" s="31"/>
      <c r="BB13" s="40">
        <v>156</v>
      </c>
      <c r="BC13" s="232"/>
      <c r="BD13" s="232"/>
      <c r="BE13" s="232"/>
    </row>
    <row r="14" spans="1:57" x14ac:dyDescent="0.25">
      <c r="A14" s="1" t="s">
        <v>163</v>
      </c>
      <c r="C14" s="40">
        <v>24</v>
      </c>
      <c r="D14" s="40">
        <v>86</v>
      </c>
      <c r="E14" s="40">
        <v>0</v>
      </c>
      <c r="F14" s="40">
        <v>0</v>
      </c>
      <c r="G14" s="40">
        <v>0</v>
      </c>
      <c r="I14" s="40">
        <v>23</v>
      </c>
      <c r="J14" s="40">
        <v>82</v>
      </c>
      <c r="L14" s="40">
        <v>25</v>
      </c>
      <c r="M14" s="40">
        <v>21</v>
      </c>
      <c r="N14" s="40">
        <v>80</v>
      </c>
      <c r="O14" s="40">
        <v>77</v>
      </c>
      <c r="Q14" s="40">
        <v>22</v>
      </c>
      <c r="R14" s="40">
        <v>77</v>
      </c>
      <c r="T14" s="40">
        <v>28</v>
      </c>
      <c r="U14" s="42">
        <v>73</v>
      </c>
      <c r="W14" s="42"/>
      <c r="X14" s="42"/>
      <c r="Z14" s="42">
        <v>20</v>
      </c>
      <c r="AA14" s="42">
        <v>76</v>
      </c>
      <c r="AB14" s="42">
        <v>1</v>
      </c>
      <c r="AC14" s="42">
        <v>5</v>
      </c>
      <c r="AD14" s="42">
        <v>2</v>
      </c>
      <c r="AE14" s="42">
        <v>4</v>
      </c>
      <c r="AG14" s="40">
        <v>17</v>
      </c>
      <c r="AH14" s="40">
        <v>17</v>
      </c>
      <c r="AI14" s="40">
        <v>14</v>
      </c>
      <c r="AJ14" s="40">
        <v>87</v>
      </c>
      <c r="AK14" s="40">
        <v>84</v>
      </c>
      <c r="AL14" s="40">
        <v>83</v>
      </c>
      <c r="AN14" s="40">
        <v>24</v>
      </c>
      <c r="AO14" s="40">
        <v>16</v>
      </c>
      <c r="AP14" s="40">
        <v>17</v>
      </c>
      <c r="AQ14" s="40">
        <v>5</v>
      </c>
      <c r="AR14" s="40">
        <v>46</v>
      </c>
      <c r="AS14" s="40">
        <v>37</v>
      </c>
      <c r="AT14" s="40">
        <v>34</v>
      </c>
      <c r="AU14" s="31"/>
      <c r="AV14" s="40">
        <v>43</v>
      </c>
      <c r="AW14" s="40">
        <v>25</v>
      </c>
      <c r="AY14" s="40">
        <v>38</v>
      </c>
      <c r="AZ14" s="40">
        <v>17</v>
      </c>
      <c r="BA14" s="31"/>
      <c r="BB14" s="40">
        <v>115</v>
      </c>
      <c r="BC14" s="233"/>
      <c r="BD14" s="233"/>
      <c r="BE14" s="233"/>
    </row>
    <row r="15" spans="1:57" x14ac:dyDescent="0.25">
      <c r="A15" s="1" t="s">
        <v>164</v>
      </c>
      <c r="C15" s="40">
        <v>59</v>
      </c>
      <c r="D15" s="40">
        <v>94</v>
      </c>
      <c r="E15" s="40">
        <v>3</v>
      </c>
      <c r="F15" s="40">
        <v>2</v>
      </c>
      <c r="G15" s="40">
        <v>1</v>
      </c>
      <c r="I15" s="40">
        <v>57</v>
      </c>
      <c r="J15" s="40">
        <v>94</v>
      </c>
      <c r="L15" s="40">
        <v>52</v>
      </c>
      <c r="M15" s="40">
        <v>51</v>
      </c>
      <c r="N15" s="40">
        <v>93</v>
      </c>
      <c r="O15" s="40">
        <v>89</v>
      </c>
      <c r="Q15" s="42">
        <v>56</v>
      </c>
      <c r="R15" s="42">
        <v>77</v>
      </c>
      <c r="T15" s="42">
        <v>55</v>
      </c>
      <c r="U15" s="40">
        <v>80</v>
      </c>
      <c r="W15" s="42"/>
      <c r="X15" s="42"/>
      <c r="Z15" s="42">
        <v>51</v>
      </c>
      <c r="AA15" s="42">
        <v>83</v>
      </c>
      <c r="AB15" s="42">
        <v>7</v>
      </c>
      <c r="AC15" s="42">
        <v>4</v>
      </c>
      <c r="AD15" s="42">
        <v>1</v>
      </c>
      <c r="AE15" s="42">
        <v>3</v>
      </c>
      <c r="AG15" s="40">
        <v>48</v>
      </c>
      <c r="AH15" s="40">
        <v>46</v>
      </c>
      <c r="AI15" s="40">
        <v>39</v>
      </c>
      <c r="AJ15" s="40">
        <v>87</v>
      </c>
      <c r="AK15" s="40">
        <v>86</v>
      </c>
      <c r="AL15" s="40">
        <v>82</v>
      </c>
      <c r="AN15" s="40">
        <v>27</v>
      </c>
      <c r="AO15" s="40">
        <v>24</v>
      </c>
      <c r="AP15" s="40">
        <v>26</v>
      </c>
      <c r="AQ15" s="40">
        <v>12</v>
      </c>
      <c r="AR15" s="40">
        <v>29</v>
      </c>
      <c r="AS15" s="40">
        <v>29</v>
      </c>
      <c r="AT15" s="40">
        <v>21</v>
      </c>
      <c r="AU15" s="31"/>
      <c r="AV15" s="40">
        <v>36</v>
      </c>
      <c r="AW15" s="40">
        <v>25</v>
      </c>
      <c r="AY15" s="40">
        <v>30</v>
      </c>
      <c r="AZ15" s="40">
        <v>23</v>
      </c>
      <c r="BA15" s="31"/>
      <c r="BB15" s="40">
        <v>164</v>
      </c>
      <c r="BC15" s="231">
        <v>101</v>
      </c>
      <c r="BD15" s="231">
        <v>199</v>
      </c>
      <c r="BE15" s="231">
        <f>16+34</f>
        <v>50</v>
      </c>
    </row>
    <row r="16" spans="1:57" x14ac:dyDescent="0.25">
      <c r="A16" s="1" t="s">
        <v>165</v>
      </c>
      <c r="C16" s="40">
        <v>19</v>
      </c>
      <c r="D16" s="40">
        <v>156</v>
      </c>
      <c r="E16" s="40">
        <v>1</v>
      </c>
      <c r="F16" s="40">
        <v>3</v>
      </c>
      <c r="G16" s="40">
        <v>2</v>
      </c>
      <c r="I16" s="40">
        <v>15</v>
      </c>
      <c r="J16" s="40">
        <v>153</v>
      </c>
      <c r="L16" s="40">
        <v>17</v>
      </c>
      <c r="M16" s="40">
        <v>18</v>
      </c>
      <c r="N16" s="40">
        <v>144</v>
      </c>
      <c r="O16" s="40">
        <v>144</v>
      </c>
      <c r="Q16" s="42">
        <v>17</v>
      </c>
      <c r="R16" s="42">
        <v>143</v>
      </c>
      <c r="T16" s="42">
        <v>19</v>
      </c>
      <c r="U16" s="40">
        <v>142</v>
      </c>
      <c r="W16" s="42"/>
      <c r="X16" s="42"/>
      <c r="Z16" s="42">
        <v>17</v>
      </c>
      <c r="AA16" s="42">
        <v>139</v>
      </c>
      <c r="AB16" s="42">
        <v>4</v>
      </c>
      <c r="AC16" s="42">
        <v>6</v>
      </c>
      <c r="AD16" s="42">
        <v>0</v>
      </c>
      <c r="AE16" s="42">
        <v>15</v>
      </c>
      <c r="AG16" s="40">
        <v>18</v>
      </c>
      <c r="AH16" s="40">
        <v>22</v>
      </c>
      <c r="AI16" s="40">
        <v>20</v>
      </c>
      <c r="AJ16" s="40">
        <v>139</v>
      </c>
      <c r="AK16" s="40">
        <v>131</v>
      </c>
      <c r="AL16" s="40">
        <v>137</v>
      </c>
      <c r="AN16" s="40">
        <v>47</v>
      </c>
      <c r="AO16" s="40">
        <v>29</v>
      </c>
      <c r="AP16" s="40">
        <v>27</v>
      </c>
      <c r="AQ16" s="40">
        <v>12</v>
      </c>
      <c r="AR16" s="40">
        <v>58</v>
      </c>
      <c r="AS16" s="40">
        <v>53</v>
      </c>
      <c r="AT16" s="40">
        <v>42</v>
      </c>
      <c r="AU16" s="31"/>
      <c r="AV16" s="40">
        <v>68</v>
      </c>
      <c r="AW16" s="40">
        <v>32</v>
      </c>
      <c r="AY16" s="40">
        <v>51</v>
      </c>
      <c r="AZ16" s="40">
        <v>33</v>
      </c>
      <c r="BA16" s="31"/>
      <c r="BB16" s="40">
        <v>195</v>
      </c>
      <c r="BC16" s="232"/>
      <c r="BD16" s="232"/>
      <c r="BE16" s="232"/>
    </row>
    <row r="17" spans="1:57" x14ac:dyDescent="0.25">
      <c r="A17" s="1" t="s">
        <v>166</v>
      </c>
      <c r="C17" s="40">
        <v>10</v>
      </c>
      <c r="D17" s="40">
        <v>62</v>
      </c>
      <c r="E17" s="40">
        <v>0</v>
      </c>
      <c r="F17" s="40">
        <v>2</v>
      </c>
      <c r="G17" s="40">
        <v>1</v>
      </c>
      <c r="I17" s="40">
        <v>6</v>
      </c>
      <c r="J17" s="40">
        <v>66</v>
      </c>
      <c r="L17" s="40">
        <v>7</v>
      </c>
      <c r="M17" s="40">
        <v>5</v>
      </c>
      <c r="N17" s="40">
        <v>63</v>
      </c>
      <c r="O17" s="40">
        <v>65</v>
      </c>
      <c r="Q17" s="42">
        <v>5</v>
      </c>
      <c r="R17" s="42">
        <v>61</v>
      </c>
      <c r="T17" s="42">
        <v>6</v>
      </c>
      <c r="U17" s="40">
        <v>61</v>
      </c>
      <c r="W17" s="42"/>
      <c r="X17" s="42"/>
      <c r="Z17" s="42">
        <v>3</v>
      </c>
      <c r="AA17" s="42">
        <v>53</v>
      </c>
      <c r="AB17" s="42">
        <v>1</v>
      </c>
      <c r="AC17" s="42">
        <v>4</v>
      </c>
      <c r="AD17" s="42">
        <v>3</v>
      </c>
      <c r="AE17" s="42">
        <v>25</v>
      </c>
      <c r="AG17" s="40">
        <v>7</v>
      </c>
      <c r="AH17" s="40">
        <v>10</v>
      </c>
      <c r="AI17" s="40">
        <v>7</v>
      </c>
      <c r="AJ17" s="40">
        <v>63</v>
      </c>
      <c r="AK17" s="40">
        <v>56</v>
      </c>
      <c r="AL17" s="40">
        <v>64</v>
      </c>
      <c r="AN17" s="40">
        <v>23</v>
      </c>
      <c r="AO17" s="40">
        <v>9</v>
      </c>
      <c r="AP17" s="40">
        <v>16</v>
      </c>
      <c r="AQ17" s="40">
        <v>7</v>
      </c>
      <c r="AR17" s="40">
        <v>28</v>
      </c>
      <c r="AS17" s="40">
        <v>25</v>
      </c>
      <c r="AT17" s="40">
        <v>24</v>
      </c>
      <c r="AU17" s="31"/>
      <c r="AV17" s="40">
        <v>27</v>
      </c>
      <c r="AW17" s="40">
        <v>13</v>
      </c>
      <c r="AY17" s="40">
        <v>19</v>
      </c>
      <c r="AZ17" s="40">
        <v>8</v>
      </c>
      <c r="BA17" s="31"/>
      <c r="BB17" s="40">
        <v>95</v>
      </c>
      <c r="BC17" s="233"/>
      <c r="BD17" s="233"/>
      <c r="BE17" s="233"/>
    </row>
    <row r="18" spans="1:57" x14ac:dyDescent="0.25">
      <c r="A18" s="1" t="s">
        <v>167</v>
      </c>
      <c r="C18" s="40">
        <v>12</v>
      </c>
      <c r="D18" s="40">
        <v>101</v>
      </c>
      <c r="E18" s="40">
        <v>1</v>
      </c>
      <c r="F18" s="40">
        <v>0</v>
      </c>
      <c r="G18" s="40">
        <v>2</v>
      </c>
      <c r="I18" s="40">
        <v>8</v>
      </c>
      <c r="J18" s="40">
        <v>99</v>
      </c>
      <c r="L18" s="40">
        <v>12</v>
      </c>
      <c r="M18" s="40">
        <v>8</v>
      </c>
      <c r="N18" s="40">
        <v>90</v>
      </c>
      <c r="O18" s="40">
        <v>88</v>
      </c>
      <c r="Q18" s="42">
        <v>6</v>
      </c>
      <c r="R18" s="42">
        <v>97</v>
      </c>
      <c r="T18" s="42">
        <v>9</v>
      </c>
      <c r="U18" s="42">
        <v>91</v>
      </c>
      <c r="W18" s="40"/>
      <c r="X18" s="42"/>
      <c r="Z18" s="42">
        <v>7</v>
      </c>
      <c r="AA18" s="42">
        <v>85</v>
      </c>
      <c r="AB18" s="42">
        <v>4</v>
      </c>
      <c r="AC18" s="42">
        <v>2</v>
      </c>
      <c r="AD18" s="42">
        <v>2</v>
      </c>
      <c r="AE18" s="42">
        <v>17</v>
      </c>
      <c r="AG18" s="40">
        <v>13</v>
      </c>
      <c r="AH18" s="40">
        <v>15</v>
      </c>
      <c r="AI18" s="40">
        <v>9</v>
      </c>
      <c r="AJ18" s="40">
        <v>88</v>
      </c>
      <c r="AK18" s="40">
        <v>88</v>
      </c>
      <c r="AL18" s="40">
        <v>90</v>
      </c>
      <c r="AN18" s="40">
        <v>39</v>
      </c>
      <c r="AO18" s="40">
        <v>28</v>
      </c>
      <c r="AP18" s="40">
        <v>25</v>
      </c>
      <c r="AQ18" s="40">
        <v>11</v>
      </c>
      <c r="AR18" s="40">
        <v>51</v>
      </c>
      <c r="AS18" s="40">
        <v>42</v>
      </c>
      <c r="AT18" s="40">
        <v>35</v>
      </c>
      <c r="AU18" s="31"/>
      <c r="AV18" s="40">
        <v>46</v>
      </c>
      <c r="AW18" s="40">
        <v>28</v>
      </c>
      <c r="AY18" s="40">
        <v>41</v>
      </c>
      <c r="AZ18" s="40">
        <v>18</v>
      </c>
      <c r="BA18" s="31"/>
      <c r="BB18" s="40">
        <v>121</v>
      </c>
      <c r="BC18" s="231">
        <v>122</v>
      </c>
      <c r="BD18" s="231">
        <v>290</v>
      </c>
      <c r="BE18" s="231">
        <f>11+26</f>
        <v>37</v>
      </c>
    </row>
    <row r="19" spans="1:57" x14ac:dyDescent="0.25">
      <c r="A19" s="1" t="s">
        <v>168</v>
      </c>
      <c r="C19" s="40">
        <v>17</v>
      </c>
      <c r="D19" s="40">
        <v>32</v>
      </c>
      <c r="E19" s="40">
        <v>0</v>
      </c>
      <c r="F19" s="40">
        <v>0</v>
      </c>
      <c r="G19" s="40">
        <v>0</v>
      </c>
      <c r="I19" s="40">
        <v>16</v>
      </c>
      <c r="J19" s="40">
        <v>28</v>
      </c>
      <c r="L19" s="40">
        <v>18</v>
      </c>
      <c r="M19" s="40">
        <v>17</v>
      </c>
      <c r="N19" s="40">
        <v>26</v>
      </c>
      <c r="O19" s="40">
        <v>27</v>
      </c>
      <c r="Q19" s="42">
        <v>17</v>
      </c>
      <c r="R19" s="42">
        <v>27</v>
      </c>
      <c r="T19" s="42">
        <v>16</v>
      </c>
      <c r="U19" s="42">
        <v>26</v>
      </c>
      <c r="W19" s="40"/>
      <c r="X19" s="42"/>
      <c r="Z19" s="42">
        <v>15</v>
      </c>
      <c r="AA19" s="42">
        <v>21</v>
      </c>
      <c r="AB19" s="42">
        <v>4</v>
      </c>
      <c r="AC19" s="42">
        <v>4</v>
      </c>
      <c r="AD19" s="42">
        <v>3</v>
      </c>
      <c r="AE19" s="42">
        <v>0</v>
      </c>
      <c r="AG19" s="40">
        <v>17</v>
      </c>
      <c r="AH19" s="40">
        <v>11</v>
      </c>
      <c r="AI19" s="40">
        <v>12</v>
      </c>
      <c r="AJ19" s="40">
        <v>25</v>
      </c>
      <c r="AK19" s="40">
        <v>22</v>
      </c>
      <c r="AL19" s="40">
        <v>23</v>
      </c>
      <c r="AN19" s="40">
        <v>6</v>
      </c>
      <c r="AO19" s="40">
        <v>10</v>
      </c>
      <c r="AP19" s="40">
        <v>12</v>
      </c>
      <c r="AQ19" s="40">
        <v>5</v>
      </c>
      <c r="AR19" s="40">
        <v>8</v>
      </c>
      <c r="AS19" s="40">
        <v>5</v>
      </c>
      <c r="AT19" s="40">
        <v>6</v>
      </c>
      <c r="AU19" s="31"/>
      <c r="AV19" s="40">
        <v>21</v>
      </c>
      <c r="AW19" s="40">
        <v>8</v>
      </c>
      <c r="AY19" s="40">
        <v>22</v>
      </c>
      <c r="AZ19" s="40">
        <v>4</v>
      </c>
      <c r="BA19" s="31"/>
      <c r="BB19" s="40">
        <v>50</v>
      </c>
      <c r="BC19" s="232"/>
      <c r="BD19" s="232"/>
      <c r="BE19" s="232"/>
    </row>
    <row r="20" spans="1:57" x14ac:dyDescent="0.25">
      <c r="A20" s="1" t="s">
        <v>169</v>
      </c>
      <c r="C20" s="40">
        <v>13</v>
      </c>
      <c r="D20" s="40">
        <v>164</v>
      </c>
      <c r="E20" s="40">
        <v>1</v>
      </c>
      <c r="F20" s="40">
        <v>0</v>
      </c>
      <c r="G20" s="40">
        <v>0</v>
      </c>
      <c r="I20" s="40">
        <v>17</v>
      </c>
      <c r="J20" s="40">
        <v>153</v>
      </c>
      <c r="L20" s="40">
        <v>15</v>
      </c>
      <c r="M20" s="40">
        <v>11</v>
      </c>
      <c r="N20" s="40">
        <v>144</v>
      </c>
      <c r="O20" s="40">
        <v>144</v>
      </c>
      <c r="Q20" s="42">
        <v>11</v>
      </c>
      <c r="R20" s="42">
        <v>140</v>
      </c>
      <c r="T20" s="42">
        <v>14</v>
      </c>
      <c r="U20" s="42">
        <v>142</v>
      </c>
      <c r="W20" s="40"/>
      <c r="X20" s="42"/>
      <c r="Z20" s="42">
        <v>11</v>
      </c>
      <c r="AA20" s="42">
        <v>126</v>
      </c>
      <c r="AB20" s="42">
        <v>5</v>
      </c>
      <c r="AC20" s="42">
        <v>9</v>
      </c>
      <c r="AD20" s="42">
        <v>1</v>
      </c>
      <c r="AE20" s="42">
        <v>22</v>
      </c>
      <c r="AG20" s="40">
        <v>12</v>
      </c>
      <c r="AH20" s="40">
        <v>16</v>
      </c>
      <c r="AI20" s="40">
        <v>10</v>
      </c>
      <c r="AJ20" s="40">
        <v>153</v>
      </c>
      <c r="AK20" s="40">
        <v>138</v>
      </c>
      <c r="AL20" s="40">
        <v>149</v>
      </c>
      <c r="AN20" s="40">
        <v>41</v>
      </c>
      <c r="AO20" s="40">
        <v>23</v>
      </c>
      <c r="AP20" s="40">
        <v>30</v>
      </c>
      <c r="AQ20" s="40">
        <v>8</v>
      </c>
      <c r="AR20" s="40">
        <v>93</v>
      </c>
      <c r="AS20" s="40">
        <v>70</v>
      </c>
      <c r="AT20" s="40">
        <v>68</v>
      </c>
      <c r="AU20" s="31"/>
      <c r="AV20" s="40">
        <v>62</v>
      </c>
      <c r="AW20" s="40">
        <v>38</v>
      </c>
      <c r="AY20" s="40">
        <v>63</v>
      </c>
      <c r="AZ20" s="40">
        <v>25</v>
      </c>
      <c r="BA20" s="31"/>
      <c r="BB20" s="40">
        <v>189</v>
      </c>
      <c r="BC20" s="232"/>
      <c r="BD20" s="232"/>
      <c r="BE20" s="232"/>
    </row>
    <row r="21" spans="1:57" x14ac:dyDescent="0.25">
      <c r="A21" s="1" t="s">
        <v>170</v>
      </c>
      <c r="C21" s="40">
        <v>10</v>
      </c>
      <c r="D21" s="40">
        <v>132</v>
      </c>
      <c r="E21" s="40">
        <v>0</v>
      </c>
      <c r="F21" s="40">
        <v>1</v>
      </c>
      <c r="G21" s="40">
        <v>1</v>
      </c>
      <c r="I21" s="40">
        <v>7</v>
      </c>
      <c r="J21" s="40">
        <v>125</v>
      </c>
      <c r="L21" s="40">
        <v>13</v>
      </c>
      <c r="M21" s="40">
        <v>9</v>
      </c>
      <c r="N21" s="40">
        <v>120</v>
      </c>
      <c r="O21" s="40">
        <v>114</v>
      </c>
      <c r="Q21" s="42">
        <v>8</v>
      </c>
      <c r="R21" s="42">
        <v>114</v>
      </c>
      <c r="T21" s="42">
        <v>8</v>
      </c>
      <c r="U21" s="42">
        <v>116</v>
      </c>
      <c r="W21" s="40"/>
      <c r="X21" s="42"/>
      <c r="Z21" s="42">
        <v>9</v>
      </c>
      <c r="AA21" s="42">
        <v>101</v>
      </c>
      <c r="AB21" s="42">
        <v>1</v>
      </c>
      <c r="AC21" s="42">
        <v>5</v>
      </c>
      <c r="AD21" s="42">
        <v>3</v>
      </c>
      <c r="AE21" s="42">
        <v>28</v>
      </c>
      <c r="AG21" s="40">
        <v>6</v>
      </c>
      <c r="AH21" s="40">
        <v>11</v>
      </c>
      <c r="AI21" s="40">
        <v>9</v>
      </c>
      <c r="AJ21" s="40">
        <v>123</v>
      </c>
      <c r="AK21" s="40">
        <v>118</v>
      </c>
      <c r="AL21" s="40">
        <v>117</v>
      </c>
      <c r="AN21" s="40">
        <v>37</v>
      </c>
      <c r="AO21" s="40">
        <v>26</v>
      </c>
      <c r="AP21" s="40">
        <v>33</v>
      </c>
      <c r="AQ21" s="40">
        <v>6</v>
      </c>
      <c r="AR21" s="40">
        <v>53</v>
      </c>
      <c r="AS21" s="40">
        <v>48</v>
      </c>
      <c r="AT21" s="40">
        <v>46</v>
      </c>
      <c r="AU21" s="31"/>
      <c r="AV21" s="40">
        <v>48</v>
      </c>
      <c r="AW21" s="40">
        <v>29</v>
      </c>
      <c r="AY21" s="40">
        <v>44</v>
      </c>
      <c r="AZ21" s="40">
        <v>11</v>
      </c>
      <c r="BA21" s="31"/>
      <c r="BB21" s="40">
        <v>157</v>
      </c>
      <c r="BC21" s="233"/>
      <c r="BD21" s="233"/>
      <c r="BE21" s="233"/>
    </row>
    <row r="22" spans="1:57" x14ac:dyDescent="0.25">
      <c r="A22" s="1" t="s">
        <v>171</v>
      </c>
      <c r="C22" s="40">
        <v>35</v>
      </c>
      <c r="D22" s="40">
        <v>69</v>
      </c>
      <c r="E22" s="40">
        <v>0</v>
      </c>
      <c r="F22" s="40">
        <v>0</v>
      </c>
      <c r="G22" s="40">
        <v>1</v>
      </c>
      <c r="I22" s="40">
        <v>36</v>
      </c>
      <c r="J22" s="40">
        <v>66</v>
      </c>
      <c r="L22" s="40">
        <v>42</v>
      </c>
      <c r="M22" s="40">
        <v>31</v>
      </c>
      <c r="N22" s="40">
        <v>62</v>
      </c>
      <c r="O22" s="40">
        <v>63</v>
      </c>
      <c r="Q22" s="42">
        <v>32</v>
      </c>
      <c r="R22" s="42">
        <v>65</v>
      </c>
      <c r="T22" s="42">
        <v>34</v>
      </c>
      <c r="U22" s="42">
        <v>64</v>
      </c>
      <c r="W22" s="42"/>
      <c r="X22" s="42"/>
      <c r="Z22" s="40">
        <v>24</v>
      </c>
      <c r="AA22" s="40">
        <v>52</v>
      </c>
      <c r="AB22" s="42">
        <v>19</v>
      </c>
      <c r="AC22" s="42">
        <v>6</v>
      </c>
      <c r="AD22" s="42">
        <v>2</v>
      </c>
      <c r="AE22" s="42">
        <v>7</v>
      </c>
      <c r="AG22" s="40">
        <v>32</v>
      </c>
      <c r="AH22" s="40">
        <v>38</v>
      </c>
      <c r="AI22" s="40">
        <v>27</v>
      </c>
      <c r="AJ22" s="40">
        <v>60</v>
      </c>
      <c r="AK22" s="40">
        <v>55</v>
      </c>
      <c r="AL22" s="40">
        <v>58</v>
      </c>
      <c r="AN22" s="40">
        <v>34</v>
      </c>
      <c r="AO22" s="40">
        <v>27</v>
      </c>
      <c r="AP22" s="40">
        <v>18</v>
      </c>
      <c r="AQ22" s="40">
        <v>13</v>
      </c>
      <c r="AR22" s="40">
        <v>22</v>
      </c>
      <c r="AS22" s="40">
        <v>22</v>
      </c>
      <c r="AT22" s="40">
        <v>18</v>
      </c>
      <c r="AU22" s="31"/>
      <c r="AV22" s="40">
        <v>41</v>
      </c>
      <c r="AW22" s="40">
        <v>18</v>
      </c>
      <c r="AY22" s="40">
        <v>29</v>
      </c>
      <c r="AZ22" s="40">
        <v>18</v>
      </c>
      <c r="BA22" s="31"/>
      <c r="BB22" s="40">
        <v>119</v>
      </c>
      <c r="BC22" s="231">
        <v>75</v>
      </c>
      <c r="BD22" s="231">
        <v>298</v>
      </c>
      <c r="BE22" s="231">
        <f>8+40</f>
        <v>48</v>
      </c>
    </row>
    <row r="23" spans="1:57" x14ac:dyDescent="0.25">
      <c r="A23" s="1" t="s">
        <v>172</v>
      </c>
      <c r="C23" s="40">
        <v>11</v>
      </c>
      <c r="D23" s="40">
        <v>86</v>
      </c>
      <c r="E23" s="40">
        <v>1</v>
      </c>
      <c r="F23" s="40">
        <v>0</v>
      </c>
      <c r="G23" s="40">
        <v>0</v>
      </c>
      <c r="I23" s="40">
        <v>7</v>
      </c>
      <c r="J23" s="40">
        <v>75</v>
      </c>
      <c r="L23" s="40">
        <v>6</v>
      </c>
      <c r="M23" s="40">
        <v>9</v>
      </c>
      <c r="N23" s="40">
        <v>77</v>
      </c>
      <c r="O23" s="40">
        <v>78</v>
      </c>
      <c r="Q23" s="42">
        <v>5</v>
      </c>
      <c r="R23" s="42">
        <v>74</v>
      </c>
      <c r="T23" s="42">
        <v>6</v>
      </c>
      <c r="U23" s="42">
        <v>74</v>
      </c>
      <c r="W23" s="42"/>
      <c r="X23" s="42"/>
      <c r="Z23" s="40">
        <v>7</v>
      </c>
      <c r="AA23" s="40">
        <v>74</v>
      </c>
      <c r="AB23" s="42">
        <v>1</v>
      </c>
      <c r="AC23" s="42">
        <v>2</v>
      </c>
      <c r="AD23" s="42">
        <v>1</v>
      </c>
      <c r="AE23" s="42">
        <v>11</v>
      </c>
      <c r="AG23" s="40">
        <v>7</v>
      </c>
      <c r="AH23" s="40">
        <v>8</v>
      </c>
      <c r="AI23" s="40">
        <v>7</v>
      </c>
      <c r="AJ23" s="40">
        <v>72</v>
      </c>
      <c r="AK23" s="40">
        <v>68</v>
      </c>
      <c r="AL23" s="40">
        <v>78</v>
      </c>
      <c r="AN23" s="40">
        <v>20</v>
      </c>
      <c r="AO23" s="40">
        <v>14</v>
      </c>
      <c r="AP23" s="40">
        <v>12</v>
      </c>
      <c r="AQ23" s="40">
        <v>6</v>
      </c>
      <c r="AR23" s="40">
        <v>33</v>
      </c>
      <c r="AS23" s="40">
        <v>27</v>
      </c>
      <c r="AT23" s="40">
        <v>21</v>
      </c>
      <c r="AU23" s="31"/>
      <c r="AV23" s="40">
        <v>27</v>
      </c>
      <c r="AW23" s="40">
        <v>21</v>
      </c>
      <c r="AY23" s="40">
        <v>28</v>
      </c>
      <c r="AZ23" s="40">
        <v>14</v>
      </c>
      <c r="BA23" s="31"/>
      <c r="BB23" s="40">
        <v>104</v>
      </c>
      <c r="BC23" s="232"/>
      <c r="BD23" s="232"/>
      <c r="BE23" s="232"/>
    </row>
    <row r="24" spans="1:57" x14ac:dyDescent="0.25">
      <c r="A24" s="1" t="s">
        <v>173</v>
      </c>
      <c r="C24" s="40">
        <v>31</v>
      </c>
      <c r="D24" s="40">
        <v>176</v>
      </c>
      <c r="E24" s="40">
        <v>0</v>
      </c>
      <c r="F24" s="40">
        <v>1</v>
      </c>
      <c r="G24" s="40">
        <v>1</v>
      </c>
      <c r="I24" s="40">
        <v>26</v>
      </c>
      <c r="J24" s="40">
        <v>161</v>
      </c>
      <c r="L24" s="40">
        <v>30</v>
      </c>
      <c r="M24" s="40">
        <v>31</v>
      </c>
      <c r="N24" s="40">
        <v>154</v>
      </c>
      <c r="O24" s="40">
        <v>147</v>
      </c>
      <c r="Q24" s="42">
        <v>31</v>
      </c>
      <c r="R24" s="42">
        <v>157</v>
      </c>
      <c r="T24" s="42">
        <v>36</v>
      </c>
      <c r="U24" s="42">
        <v>150</v>
      </c>
      <c r="W24" s="42"/>
      <c r="X24" s="42"/>
      <c r="Z24" s="40">
        <v>28</v>
      </c>
      <c r="AA24" s="40">
        <v>159</v>
      </c>
      <c r="AB24" s="42">
        <v>8</v>
      </c>
      <c r="AC24" s="42">
        <v>1</v>
      </c>
      <c r="AD24" s="42">
        <v>5</v>
      </c>
      <c r="AE24" s="42">
        <v>8</v>
      </c>
      <c r="AG24" s="40">
        <v>30</v>
      </c>
      <c r="AH24" s="40">
        <v>32</v>
      </c>
      <c r="AI24" s="40">
        <v>28</v>
      </c>
      <c r="AJ24" s="40">
        <v>163</v>
      </c>
      <c r="AK24" s="40">
        <v>153</v>
      </c>
      <c r="AL24" s="40">
        <v>157</v>
      </c>
      <c r="AN24" s="40">
        <v>29</v>
      </c>
      <c r="AO24" s="40">
        <v>31</v>
      </c>
      <c r="AP24" s="40">
        <v>35</v>
      </c>
      <c r="AQ24" s="40">
        <v>14</v>
      </c>
      <c r="AR24" s="40">
        <v>96</v>
      </c>
      <c r="AS24" s="40">
        <v>89</v>
      </c>
      <c r="AT24" s="40">
        <v>76</v>
      </c>
      <c r="AU24" s="31"/>
      <c r="AV24" s="40">
        <v>78</v>
      </c>
      <c r="AW24" s="40">
        <v>43</v>
      </c>
      <c r="AY24" s="40">
        <v>74</v>
      </c>
      <c r="AZ24" s="40">
        <v>29</v>
      </c>
      <c r="BA24" s="31"/>
      <c r="BB24" s="40">
        <v>217</v>
      </c>
      <c r="BC24" s="232"/>
      <c r="BD24" s="232"/>
      <c r="BE24" s="232"/>
    </row>
    <row r="25" spans="1:57" x14ac:dyDescent="0.25">
      <c r="A25" s="1" t="s">
        <v>174</v>
      </c>
      <c r="C25" s="40">
        <v>40</v>
      </c>
      <c r="D25" s="40">
        <v>60</v>
      </c>
      <c r="E25" s="40">
        <v>0</v>
      </c>
      <c r="F25" s="40">
        <v>0</v>
      </c>
      <c r="G25" s="40">
        <v>0</v>
      </c>
      <c r="I25" s="40">
        <v>36</v>
      </c>
      <c r="J25" s="40">
        <v>59</v>
      </c>
      <c r="L25" s="40">
        <v>36</v>
      </c>
      <c r="M25" s="40">
        <v>32</v>
      </c>
      <c r="N25" s="40">
        <v>56</v>
      </c>
      <c r="O25" s="40">
        <v>57</v>
      </c>
      <c r="Q25" s="42">
        <v>35</v>
      </c>
      <c r="R25" s="42">
        <v>57</v>
      </c>
      <c r="T25" s="42">
        <v>36</v>
      </c>
      <c r="U25" s="42">
        <v>56</v>
      </c>
      <c r="W25" s="42"/>
      <c r="X25" s="42"/>
      <c r="Z25" s="40">
        <v>36</v>
      </c>
      <c r="AA25" s="40">
        <v>43</v>
      </c>
      <c r="AB25" s="42">
        <v>11</v>
      </c>
      <c r="AC25" s="42">
        <v>5</v>
      </c>
      <c r="AD25" s="42">
        <v>2</v>
      </c>
      <c r="AE25" s="42">
        <v>2</v>
      </c>
      <c r="AG25" s="40">
        <v>40</v>
      </c>
      <c r="AH25" s="40">
        <v>34</v>
      </c>
      <c r="AI25" s="40">
        <v>30</v>
      </c>
      <c r="AJ25" s="40">
        <v>47</v>
      </c>
      <c r="AK25" s="40">
        <v>40</v>
      </c>
      <c r="AL25" s="40">
        <v>43</v>
      </c>
      <c r="AN25" s="40">
        <v>21</v>
      </c>
      <c r="AO25" s="40">
        <v>23</v>
      </c>
      <c r="AP25" s="40">
        <v>18</v>
      </c>
      <c r="AQ25" s="40">
        <v>14</v>
      </c>
      <c r="AR25" s="40">
        <v>18</v>
      </c>
      <c r="AS25" s="40">
        <v>19</v>
      </c>
      <c r="AT25" s="40">
        <v>14</v>
      </c>
      <c r="AU25" s="31"/>
      <c r="AV25" s="40">
        <v>36</v>
      </c>
      <c r="AW25" s="40">
        <v>20</v>
      </c>
      <c r="AY25" s="40">
        <v>30</v>
      </c>
      <c r="AZ25" s="40">
        <v>17</v>
      </c>
      <c r="BA25" s="31"/>
      <c r="BB25" s="40">
        <v>101</v>
      </c>
      <c r="BC25" s="233"/>
      <c r="BD25" s="233"/>
      <c r="BE25" s="233"/>
    </row>
    <row r="26" spans="1:57" x14ac:dyDescent="0.25">
      <c r="A26" s="1" t="s">
        <v>175</v>
      </c>
      <c r="C26" s="40">
        <v>53</v>
      </c>
      <c r="D26" s="40">
        <v>79</v>
      </c>
      <c r="E26" s="40">
        <v>0</v>
      </c>
      <c r="F26" s="40">
        <v>3</v>
      </c>
      <c r="G26" s="40">
        <v>1</v>
      </c>
      <c r="I26" s="40">
        <v>50</v>
      </c>
      <c r="J26" s="40">
        <v>82</v>
      </c>
      <c r="L26" s="40">
        <v>58</v>
      </c>
      <c r="M26" s="40">
        <v>49</v>
      </c>
      <c r="N26" s="40">
        <v>73</v>
      </c>
      <c r="O26" s="40">
        <v>76</v>
      </c>
      <c r="Q26" s="42">
        <v>50</v>
      </c>
      <c r="R26" s="42">
        <v>79</v>
      </c>
      <c r="T26" s="42">
        <v>50</v>
      </c>
      <c r="U26" s="42">
        <v>81</v>
      </c>
      <c r="W26" s="42"/>
      <c r="X26" s="42"/>
      <c r="Z26" s="42">
        <v>46</v>
      </c>
      <c r="AA26" s="42">
        <v>65</v>
      </c>
      <c r="AB26" s="40">
        <v>11</v>
      </c>
      <c r="AC26" s="40">
        <v>7</v>
      </c>
      <c r="AD26" s="40">
        <v>3</v>
      </c>
      <c r="AE26" s="42">
        <v>4</v>
      </c>
      <c r="AG26" s="40">
        <v>47</v>
      </c>
      <c r="AH26" s="40">
        <v>47</v>
      </c>
      <c r="AI26" s="40">
        <v>45</v>
      </c>
      <c r="AJ26" s="40">
        <v>69</v>
      </c>
      <c r="AK26" s="40">
        <v>67</v>
      </c>
      <c r="AL26" s="40">
        <v>66</v>
      </c>
      <c r="AN26" s="40">
        <v>50</v>
      </c>
      <c r="AO26" s="40">
        <v>36</v>
      </c>
      <c r="AP26" s="40">
        <v>35</v>
      </c>
      <c r="AQ26" s="40">
        <v>14</v>
      </c>
      <c r="AR26" s="40">
        <v>21</v>
      </c>
      <c r="AS26" s="40">
        <v>31</v>
      </c>
      <c r="AT26" s="40">
        <v>20</v>
      </c>
      <c r="AU26" s="31"/>
      <c r="AV26" s="40">
        <v>42</v>
      </c>
      <c r="AW26" s="40">
        <v>32</v>
      </c>
      <c r="AY26" s="40">
        <v>34</v>
      </c>
      <c r="AZ26" s="40">
        <v>29</v>
      </c>
      <c r="BA26" s="31"/>
      <c r="BB26" s="40">
        <v>144</v>
      </c>
      <c r="BC26" s="231">
        <v>70</v>
      </c>
      <c r="BD26" s="231">
        <v>220</v>
      </c>
      <c r="BE26" s="231">
        <f>6+28</f>
        <v>34</v>
      </c>
    </row>
    <row r="27" spans="1:57" x14ac:dyDescent="0.25">
      <c r="A27" s="1" t="s">
        <v>176</v>
      </c>
      <c r="C27" s="40">
        <v>132</v>
      </c>
      <c r="D27" s="40">
        <v>107</v>
      </c>
      <c r="E27" s="40">
        <v>0</v>
      </c>
      <c r="F27" s="40">
        <v>0</v>
      </c>
      <c r="G27" s="40">
        <v>0</v>
      </c>
      <c r="I27" s="40">
        <v>126</v>
      </c>
      <c r="J27" s="40">
        <v>100</v>
      </c>
      <c r="L27" s="40">
        <v>125</v>
      </c>
      <c r="M27" s="40">
        <v>129</v>
      </c>
      <c r="N27" s="40">
        <v>91</v>
      </c>
      <c r="O27" s="40">
        <v>86</v>
      </c>
      <c r="Q27" s="42">
        <v>122</v>
      </c>
      <c r="R27" s="42">
        <v>94</v>
      </c>
      <c r="T27" s="42">
        <v>120</v>
      </c>
      <c r="U27" s="42">
        <v>97</v>
      </c>
      <c r="W27" s="42"/>
      <c r="X27" s="42"/>
      <c r="Z27" s="42">
        <v>113</v>
      </c>
      <c r="AA27" s="42">
        <v>76</v>
      </c>
      <c r="AB27" s="40">
        <v>16</v>
      </c>
      <c r="AC27" s="40">
        <v>12</v>
      </c>
      <c r="AD27" s="40">
        <v>5</v>
      </c>
      <c r="AE27" s="42">
        <v>7</v>
      </c>
      <c r="AG27" s="40">
        <v>124</v>
      </c>
      <c r="AH27" s="40">
        <v>109</v>
      </c>
      <c r="AI27" s="40">
        <v>106</v>
      </c>
      <c r="AJ27" s="40">
        <v>89</v>
      </c>
      <c r="AK27" s="40">
        <v>93</v>
      </c>
      <c r="AL27" s="40">
        <v>98</v>
      </c>
      <c r="AN27" s="40">
        <v>48</v>
      </c>
      <c r="AO27" s="40">
        <v>61</v>
      </c>
      <c r="AP27" s="40">
        <v>52</v>
      </c>
      <c r="AQ27" s="40">
        <v>39</v>
      </c>
      <c r="AR27" s="40">
        <v>39</v>
      </c>
      <c r="AS27" s="40">
        <v>38</v>
      </c>
      <c r="AT27" s="40">
        <v>31</v>
      </c>
      <c r="AU27" s="31"/>
      <c r="AV27" s="40">
        <v>79</v>
      </c>
      <c r="AW27" s="40">
        <v>62</v>
      </c>
      <c r="AY27" s="40">
        <v>73</v>
      </c>
      <c r="AZ27" s="40">
        <v>47</v>
      </c>
      <c r="BA27" s="31"/>
      <c r="BB27" s="40">
        <v>246</v>
      </c>
      <c r="BC27" s="233"/>
      <c r="BD27" s="233"/>
      <c r="BE27" s="233"/>
    </row>
    <row r="28" spans="1:57" x14ac:dyDescent="0.25">
      <c r="A28" s="1" t="s">
        <v>177</v>
      </c>
      <c r="C28" s="40">
        <v>72</v>
      </c>
      <c r="D28" s="40">
        <v>66</v>
      </c>
      <c r="E28" s="40">
        <v>1</v>
      </c>
      <c r="F28" s="40">
        <v>0</v>
      </c>
      <c r="G28" s="40">
        <v>1</v>
      </c>
      <c r="I28" s="40">
        <v>70</v>
      </c>
      <c r="J28" s="40">
        <v>66</v>
      </c>
      <c r="L28" s="40">
        <v>73</v>
      </c>
      <c r="M28" s="40">
        <v>71</v>
      </c>
      <c r="N28" s="42">
        <v>58</v>
      </c>
      <c r="O28" s="42">
        <v>59</v>
      </c>
      <c r="Q28" s="42">
        <v>68</v>
      </c>
      <c r="R28" s="42">
        <v>59</v>
      </c>
      <c r="T28" s="42">
        <v>68</v>
      </c>
      <c r="U28" s="42">
        <v>59</v>
      </c>
      <c r="W28" s="42">
        <v>71</v>
      </c>
      <c r="X28" s="42">
        <v>54</v>
      </c>
      <c r="Z28" s="42">
        <v>65</v>
      </c>
      <c r="AA28" s="42">
        <v>52</v>
      </c>
      <c r="AB28" s="42">
        <v>4</v>
      </c>
      <c r="AC28" s="42">
        <v>2</v>
      </c>
      <c r="AD28" s="42">
        <v>3</v>
      </c>
      <c r="AE28" s="40">
        <v>7</v>
      </c>
      <c r="AG28" s="40">
        <v>67</v>
      </c>
      <c r="AH28" s="40">
        <v>64</v>
      </c>
      <c r="AI28" s="40">
        <v>64</v>
      </c>
      <c r="AJ28" s="40">
        <v>54</v>
      </c>
      <c r="AK28" s="40">
        <v>51</v>
      </c>
      <c r="AL28" s="40">
        <v>53</v>
      </c>
      <c r="AN28" s="40">
        <v>43</v>
      </c>
      <c r="AO28" s="40">
        <v>32</v>
      </c>
      <c r="AP28" s="40">
        <v>29</v>
      </c>
      <c r="AQ28" s="40">
        <v>17</v>
      </c>
      <c r="AR28" s="40">
        <v>16</v>
      </c>
      <c r="AS28" s="40">
        <v>16</v>
      </c>
      <c r="AT28" s="40">
        <v>7</v>
      </c>
      <c r="AU28" s="31"/>
      <c r="AV28" s="40">
        <v>56</v>
      </c>
      <c r="AW28" s="40">
        <v>32</v>
      </c>
      <c r="AY28" s="40">
        <v>53</v>
      </c>
      <c r="AZ28" s="40">
        <v>28</v>
      </c>
      <c r="BA28" s="31"/>
      <c r="BB28" s="40">
        <v>142</v>
      </c>
      <c r="BC28" s="231">
        <v>83</v>
      </c>
      <c r="BD28" s="231">
        <v>478</v>
      </c>
      <c r="BE28" s="231">
        <f>4+66</f>
        <v>70</v>
      </c>
    </row>
    <row r="29" spans="1:57" x14ac:dyDescent="0.25">
      <c r="A29" s="1" t="s">
        <v>178</v>
      </c>
      <c r="C29" s="40">
        <v>116</v>
      </c>
      <c r="D29" s="40">
        <v>112</v>
      </c>
      <c r="E29" s="40">
        <v>2</v>
      </c>
      <c r="F29" s="40">
        <v>0</v>
      </c>
      <c r="G29" s="40">
        <v>0</v>
      </c>
      <c r="I29" s="40">
        <v>114</v>
      </c>
      <c r="J29" s="40">
        <v>105</v>
      </c>
      <c r="L29" s="40">
        <v>124</v>
      </c>
      <c r="M29" s="40">
        <v>112</v>
      </c>
      <c r="N29" s="42">
        <v>94</v>
      </c>
      <c r="O29" s="42">
        <v>92</v>
      </c>
      <c r="Q29" s="42">
        <v>109</v>
      </c>
      <c r="R29" s="42">
        <v>96</v>
      </c>
      <c r="T29" s="42">
        <v>116</v>
      </c>
      <c r="U29" s="42">
        <v>98</v>
      </c>
      <c r="W29" s="42">
        <v>114</v>
      </c>
      <c r="X29" s="42">
        <v>94</v>
      </c>
      <c r="Z29" s="42">
        <v>93</v>
      </c>
      <c r="AA29" s="42">
        <v>101</v>
      </c>
      <c r="AB29" s="42">
        <v>8</v>
      </c>
      <c r="AC29" s="42">
        <v>7</v>
      </c>
      <c r="AD29" s="42">
        <v>6</v>
      </c>
      <c r="AE29" s="40">
        <v>17</v>
      </c>
      <c r="AG29" s="40">
        <v>109</v>
      </c>
      <c r="AH29" s="40">
        <v>79</v>
      </c>
      <c r="AI29" s="40">
        <v>90</v>
      </c>
      <c r="AJ29" s="40">
        <v>101</v>
      </c>
      <c r="AK29" s="40">
        <v>121</v>
      </c>
      <c r="AL29" s="40">
        <v>91</v>
      </c>
      <c r="AN29" s="40">
        <v>51</v>
      </c>
      <c r="AO29" s="40">
        <v>66</v>
      </c>
      <c r="AP29" s="40">
        <v>42</v>
      </c>
      <c r="AQ29" s="40">
        <v>87</v>
      </c>
      <c r="AR29" s="40">
        <v>47</v>
      </c>
      <c r="AS29" s="40">
        <v>38</v>
      </c>
      <c r="AT29" s="40">
        <v>34</v>
      </c>
      <c r="AU29" s="31"/>
      <c r="AV29" s="40">
        <v>96</v>
      </c>
      <c r="AW29" s="40">
        <v>54</v>
      </c>
      <c r="AY29" s="40">
        <v>93</v>
      </c>
      <c r="AZ29" s="40">
        <v>36</v>
      </c>
      <c r="BA29" s="31"/>
      <c r="BB29" s="40">
        <v>241</v>
      </c>
      <c r="BC29" s="232"/>
      <c r="BD29" s="232"/>
      <c r="BE29" s="232"/>
    </row>
    <row r="30" spans="1:57" x14ac:dyDescent="0.25">
      <c r="A30" s="1" t="s">
        <v>179</v>
      </c>
      <c r="C30" s="40">
        <v>76</v>
      </c>
      <c r="D30" s="40">
        <v>90</v>
      </c>
      <c r="E30" s="40">
        <v>1</v>
      </c>
      <c r="F30" s="40">
        <v>1</v>
      </c>
      <c r="G30" s="40">
        <v>0</v>
      </c>
      <c r="I30" s="40">
        <v>68</v>
      </c>
      <c r="J30" s="40">
        <v>90</v>
      </c>
      <c r="L30" s="40">
        <v>77</v>
      </c>
      <c r="M30" s="40">
        <v>67</v>
      </c>
      <c r="N30" s="42">
        <v>84</v>
      </c>
      <c r="O30" s="42">
        <v>80</v>
      </c>
      <c r="Q30" s="42">
        <v>68</v>
      </c>
      <c r="R30" s="42">
        <v>86</v>
      </c>
      <c r="T30" s="42">
        <v>72</v>
      </c>
      <c r="U30" s="42">
        <v>85</v>
      </c>
      <c r="W30" s="42">
        <v>76</v>
      </c>
      <c r="X30" s="42">
        <v>77</v>
      </c>
      <c r="Z30" s="42">
        <v>64</v>
      </c>
      <c r="AA30" s="42">
        <v>60</v>
      </c>
      <c r="AB30" s="42">
        <v>16</v>
      </c>
      <c r="AC30" s="42">
        <v>9</v>
      </c>
      <c r="AD30" s="42">
        <v>6</v>
      </c>
      <c r="AE30" s="40">
        <v>7</v>
      </c>
      <c r="AG30" s="40">
        <v>78</v>
      </c>
      <c r="AH30" s="40">
        <v>70</v>
      </c>
      <c r="AI30" s="40">
        <v>74</v>
      </c>
      <c r="AJ30" s="40">
        <v>70</v>
      </c>
      <c r="AK30" s="40">
        <v>75</v>
      </c>
      <c r="AL30" s="40">
        <v>65</v>
      </c>
      <c r="AN30" s="40">
        <v>39</v>
      </c>
      <c r="AO30" s="40">
        <v>40</v>
      </c>
      <c r="AP30" s="40">
        <v>35</v>
      </c>
      <c r="AQ30" s="40">
        <v>30</v>
      </c>
      <c r="AR30" s="40">
        <v>21</v>
      </c>
      <c r="AS30" s="40">
        <v>23</v>
      </c>
      <c r="AT30" s="40">
        <v>18</v>
      </c>
      <c r="AU30" s="31"/>
      <c r="AV30" s="40">
        <v>69</v>
      </c>
      <c r="AW30" s="40">
        <v>36</v>
      </c>
      <c r="AY30" s="40">
        <v>62</v>
      </c>
      <c r="AZ30" s="40">
        <v>33</v>
      </c>
      <c r="BA30" s="31"/>
      <c r="BB30" s="40">
        <v>173</v>
      </c>
      <c r="BC30" s="232"/>
      <c r="BD30" s="232"/>
      <c r="BE30" s="232"/>
    </row>
    <row r="31" spans="1:57" x14ac:dyDescent="0.25">
      <c r="A31" s="1" t="s">
        <v>180</v>
      </c>
      <c r="C31" s="40">
        <v>146</v>
      </c>
      <c r="D31" s="40">
        <v>123</v>
      </c>
      <c r="E31" s="40">
        <v>0</v>
      </c>
      <c r="F31" s="40">
        <v>1</v>
      </c>
      <c r="G31" s="40">
        <v>0</v>
      </c>
      <c r="I31" s="40">
        <v>151</v>
      </c>
      <c r="J31" s="40">
        <v>120</v>
      </c>
      <c r="L31" s="40">
        <v>157</v>
      </c>
      <c r="M31" s="40">
        <v>152</v>
      </c>
      <c r="N31" s="42">
        <v>104</v>
      </c>
      <c r="O31" s="42">
        <v>101</v>
      </c>
      <c r="Q31" s="42">
        <v>144</v>
      </c>
      <c r="R31" s="42">
        <v>111</v>
      </c>
      <c r="T31" s="42">
        <v>153</v>
      </c>
      <c r="U31" s="42">
        <v>104</v>
      </c>
      <c r="W31" s="42">
        <v>151</v>
      </c>
      <c r="X31" s="42">
        <v>103</v>
      </c>
      <c r="Z31" s="42">
        <v>122</v>
      </c>
      <c r="AA31" s="42">
        <v>110</v>
      </c>
      <c r="AB31" s="42">
        <v>15</v>
      </c>
      <c r="AC31" s="42">
        <v>10</v>
      </c>
      <c r="AD31" s="42">
        <v>11</v>
      </c>
      <c r="AE31" s="40">
        <v>2</v>
      </c>
      <c r="AG31" s="40">
        <v>152</v>
      </c>
      <c r="AH31" s="40">
        <v>147</v>
      </c>
      <c r="AI31" s="40">
        <v>139</v>
      </c>
      <c r="AJ31" s="40">
        <v>101</v>
      </c>
      <c r="AK31" s="40">
        <v>103</v>
      </c>
      <c r="AL31" s="40">
        <v>101</v>
      </c>
      <c r="AN31" s="40">
        <v>71</v>
      </c>
      <c r="AO31" s="40">
        <v>74</v>
      </c>
      <c r="AP31" s="40">
        <v>59</v>
      </c>
      <c r="AQ31" s="40">
        <v>48</v>
      </c>
      <c r="AR31" s="40">
        <v>55</v>
      </c>
      <c r="AS31" s="40">
        <v>39</v>
      </c>
      <c r="AT31" s="40">
        <v>29</v>
      </c>
      <c r="AU31" s="31"/>
      <c r="AV31" s="40">
        <v>91</v>
      </c>
      <c r="AW31" s="40">
        <v>95</v>
      </c>
      <c r="AY31" s="40">
        <v>108</v>
      </c>
      <c r="AZ31" s="40">
        <v>53</v>
      </c>
      <c r="BA31" s="31"/>
      <c r="BB31" s="40">
        <v>283</v>
      </c>
      <c r="BC31" s="233"/>
      <c r="BD31" s="233"/>
      <c r="BE31" s="233"/>
    </row>
    <row r="32" spans="1:57" ht="15.75" thickBot="1" x14ac:dyDescent="0.3">
      <c r="T32" s="2"/>
      <c r="AG32" s="2"/>
      <c r="AH32" s="2"/>
      <c r="AI32" s="2"/>
      <c r="AJ32" s="2"/>
      <c r="AK32" s="2"/>
      <c r="AL32" s="2"/>
      <c r="AN32" s="2"/>
      <c r="AO32" s="2"/>
      <c r="AP32" s="2"/>
      <c r="AQ32" s="2"/>
      <c r="AR32" s="2"/>
    </row>
    <row r="33" spans="1:57" ht="15.75" thickBot="1" x14ac:dyDescent="0.3">
      <c r="A33" s="50" t="s">
        <v>8</v>
      </c>
      <c r="C33" s="51">
        <f>+SUM(C11:C31)</f>
        <v>1017</v>
      </c>
      <c r="D33" s="51">
        <f>+SUM(D11:D31)</f>
        <v>2191</v>
      </c>
      <c r="E33" s="51">
        <f>+SUM(E11:E31)</f>
        <v>13</v>
      </c>
      <c r="F33" s="51">
        <f>+SUM(F11:F31)</f>
        <v>16</v>
      </c>
      <c r="G33" s="51">
        <f>+SUM(G11:G31)</f>
        <v>11</v>
      </c>
      <c r="I33" s="51">
        <f>+SUM(I11:I31)</f>
        <v>959</v>
      </c>
      <c r="J33" s="51">
        <f>+SUM(J11:J31)</f>
        <v>2117</v>
      </c>
      <c r="L33" s="51">
        <f>+SUM(L11:L31)</f>
        <v>1044</v>
      </c>
      <c r="M33" s="51">
        <f>+SUM(M11:M31)</f>
        <v>955</v>
      </c>
      <c r="N33" s="51">
        <f>+SUM(N11:N31)</f>
        <v>1969</v>
      </c>
      <c r="O33" s="51">
        <f>+SUM(O11:O31)</f>
        <v>1941</v>
      </c>
      <c r="Q33" s="51">
        <f>+SUM(Q11:Q31)</f>
        <v>935</v>
      </c>
      <c r="R33" s="51">
        <f>+SUM(R11:R31)</f>
        <v>1978</v>
      </c>
      <c r="T33" s="51">
        <f>+SUM(T11:T31)</f>
        <v>976</v>
      </c>
      <c r="U33" s="51">
        <f>+SUM(U11:U31)</f>
        <v>1956</v>
      </c>
      <c r="W33" s="51">
        <f>+SUM(W11:W31)</f>
        <v>412</v>
      </c>
      <c r="X33" s="51">
        <f>+SUM(X11:X31)</f>
        <v>328</v>
      </c>
      <c r="Z33" s="51">
        <f t="shared" ref="Z33:AE33" si="0">+SUM(Z11:Z31)</f>
        <v>851</v>
      </c>
      <c r="AA33" s="51">
        <f t="shared" si="0"/>
        <v>1813</v>
      </c>
      <c r="AB33" s="51">
        <f t="shared" si="0"/>
        <v>165</v>
      </c>
      <c r="AC33" s="51">
        <f t="shared" si="0"/>
        <v>128</v>
      </c>
      <c r="AD33" s="51">
        <f t="shared" si="0"/>
        <v>64</v>
      </c>
      <c r="AE33" s="51">
        <f t="shared" si="0"/>
        <v>212</v>
      </c>
      <c r="AG33" s="51">
        <f t="shared" ref="AG33:AR33" si="1">+SUM(AG11:AG31)</f>
        <v>956</v>
      </c>
      <c r="AH33" s="51">
        <f t="shared" si="1"/>
        <v>896</v>
      </c>
      <c r="AI33" s="51">
        <f t="shared" si="1"/>
        <v>848</v>
      </c>
      <c r="AJ33" s="51">
        <f t="shared" si="1"/>
        <v>1951</v>
      </c>
      <c r="AK33" s="51">
        <f t="shared" ref="AK33:AL33" si="2">+SUM(AK11:AK31)</f>
        <v>1890</v>
      </c>
      <c r="AL33" s="51">
        <f t="shared" si="2"/>
        <v>1914</v>
      </c>
      <c r="AN33" s="51">
        <f t="shared" si="1"/>
        <v>772</v>
      </c>
      <c r="AO33" s="51">
        <f t="shared" ref="AO33:AQ33" si="3">+SUM(AO11:AO31)</f>
        <v>656</v>
      </c>
      <c r="AP33" s="51">
        <f t="shared" si="3"/>
        <v>623</v>
      </c>
      <c r="AQ33" s="51">
        <f t="shared" si="3"/>
        <v>396</v>
      </c>
      <c r="AR33" s="51">
        <f t="shared" si="1"/>
        <v>925</v>
      </c>
      <c r="AS33" s="51">
        <f>+SUM(AS11:AS31)</f>
        <v>802</v>
      </c>
      <c r="AT33" s="51">
        <f>+SUM(AT11:AT31)</f>
        <v>677</v>
      </c>
      <c r="AU33" s="96"/>
      <c r="AV33" s="51">
        <f>+SUM(AV11:AV31)</f>
        <v>1142</v>
      </c>
      <c r="AW33" s="51">
        <f>+SUM(AW11:AW31)</f>
        <v>718</v>
      </c>
      <c r="AY33" s="51">
        <f>+SUM(AY11:AY31)</f>
        <v>1079</v>
      </c>
      <c r="AZ33" s="51">
        <f>+SUM(AZ11:AZ31)</f>
        <v>511</v>
      </c>
      <c r="BA33" s="96"/>
      <c r="BB33" s="51">
        <f>+SUM(BB11:BB31)</f>
        <v>3423</v>
      </c>
      <c r="BC33" s="51">
        <f>+SUM(BC11:BC31)</f>
        <v>580</v>
      </c>
      <c r="BD33" s="51">
        <f>+SUM(BD11:BD31)</f>
        <v>2320</v>
      </c>
      <c r="BE33" s="51">
        <f>+SUM(BE11:BE31)</f>
        <v>325</v>
      </c>
    </row>
    <row r="34" spans="1:57" x14ac:dyDescent="0.25">
      <c r="A34" s="92" t="s">
        <v>146</v>
      </c>
      <c r="C34" s="53">
        <f>22+16+14+8+23+34</f>
        <v>117</v>
      </c>
      <c r="D34" s="53">
        <f>98+74+93+61+45+47</f>
        <v>418</v>
      </c>
      <c r="E34" s="53">
        <v>1</v>
      </c>
      <c r="F34" s="53">
        <f>1+2</f>
        <v>3</v>
      </c>
      <c r="G34" s="53">
        <f>1+1+1</f>
        <v>3</v>
      </c>
      <c r="H34" s="2"/>
      <c r="I34" s="53">
        <f>21+16+11+13+21+31</f>
        <v>113</v>
      </c>
      <c r="J34" s="53">
        <f>95+69+86+55+46+45</f>
        <v>396</v>
      </c>
      <c r="K34" s="2"/>
      <c r="L34" s="53">
        <f>28+16+13+13+22+40</f>
        <v>132</v>
      </c>
      <c r="M34" s="53">
        <f>21+15+12+9+20+37</f>
        <v>114</v>
      </c>
      <c r="N34" s="53">
        <f>85+61+85+54+44+39</f>
        <v>368</v>
      </c>
      <c r="O34" s="53">
        <f>87+64+84+54+46+43</f>
        <v>378</v>
      </c>
      <c r="P34" s="2"/>
      <c r="Q34" s="53">
        <f>25+13+14+9+19+35</f>
        <v>115</v>
      </c>
      <c r="R34" s="53">
        <f>89+58+81+55+46+43</f>
        <v>372</v>
      </c>
      <c r="S34" s="2"/>
      <c r="T34" s="53">
        <f>23+13+15+10+17+32</f>
        <v>110</v>
      </c>
      <c r="U34" s="53">
        <f>85+62+82+52+47+45</f>
        <v>373</v>
      </c>
      <c r="V34" s="2"/>
      <c r="W34" s="53">
        <f>36</f>
        <v>36</v>
      </c>
      <c r="X34" s="53">
        <f>42</f>
        <v>42</v>
      </c>
      <c r="Y34" s="2"/>
      <c r="Z34" s="53">
        <f>19+12+8+3+20+31</f>
        <v>93</v>
      </c>
      <c r="AA34" s="53">
        <f>82+61+79+59+41+29</f>
        <v>351</v>
      </c>
      <c r="AB34" s="53">
        <f>14+10+16+4+3+8</f>
        <v>55</v>
      </c>
      <c r="AC34" s="53">
        <f>3+7+1+2+5</f>
        <v>18</v>
      </c>
      <c r="AD34" s="53">
        <f>3+1+2+3</f>
        <v>9</v>
      </c>
      <c r="AE34" s="53">
        <f>3+6+7+4+3</f>
        <v>23</v>
      </c>
      <c r="AF34" s="2"/>
      <c r="AG34" s="53">
        <f>21+12+18+5+22+35</f>
        <v>113</v>
      </c>
      <c r="AH34" s="53">
        <f>26+22+24+6+22+32</f>
        <v>132</v>
      </c>
      <c r="AI34" s="53">
        <f>24+17+20+9+21+37</f>
        <v>128</v>
      </c>
      <c r="AJ34" s="53">
        <f>87+65+85+62+43+42</f>
        <v>384</v>
      </c>
      <c r="AK34" s="53">
        <f>87+59+82+60+45+42</f>
        <v>375</v>
      </c>
      <c r="AL34" s="53">
        <f>89+67+86+62+44+43</f>
        <v>391</v>
      </c>
      <c r="AM34" s="2"/>
      <c r="AN34" s="53">
        <f>23+20+30+12+9+18</f>
        <v>112</v>
      </c>
      <c r="AO34" s="53">
        <f>24+16+26+6+9+19</f>
        <v>100</v>
      </c>
      <c r="AP34" s="53">
        <f>18+10+17+7+8+22</f>
        <v>82</v>
      </c>
      <c r="AQ34" s="53">
        <f>8+14+12+7+13+21</f>
        <v>75</v>
      </c>
      <c r="AR34" s="53">
        <f>59+30+58+48+26+12</f>
        <v>233</v>
      </c>
      <c r="AS34" s="53">
        <f>53+36+42+42+31+17</f>
        <v>221</v>
      </c>
      <c r="AT34" s="53">
        <f>45+24+45+38+24+15</f>
        <v>191</v>
      </c>
      <c r="AU34" s="46"/>
      <c r="AV34" s="53">
        <f>61+41+56+34+30+43</f>
        <v>265</v>
      </c>
      <c r="AW34" s="53">
        <f>37+22+33+22+23+30</f>
        <v>167</v>
      </c>
      <c r="AX34" s="2"/>
      <c r="AY34" s="53">
        <f>72+41+73+34+35+40</f>
        <v>295</v>
      </c>
      <c r="AZ34" s="53">
        <f>24+20+16+23+16+30</f>
        <v>129</v>
      </c>
      <c r="BA34" s="46"/>
      <c r="BB34" s="93"/>
      <c r="BC34" s="93"/>
      <c r="BD34" s="93"/>
      <c r="BE34" s="93"/>
    </row>
    <row r="35" spans="1:57" x14ac:dyDescent="0.25">
      <c r="A35" s="92" t="s">
        <v>43</v>
      </c>
      <c r="C35" s="95">
        <v>894</v>
      </c>
      <c r="D35" s="95">
        <v>1308</v>
      </c>
      <c r="E35" s="95">
        <v>8</v>
      </c>
      <c r="F35" s="95">
        <v>7</v>
      </c>
      <c r="G35" s="95">
        <v>4</v>
      </c>
      <c r="H35" s="2"/>
      <c r="I35" s="95">
        <v>921</v>
      </c>
      <c r="J35" s="95">
        <v>1289</v>
      </c>
      <c r="K35" s="2"/>
      <c r="L35" s="95">
        <v>1019</v>
      </c>
      <c r="M35" s="95">
        <v>917</v>
      </c>
      <c r="N35" s="95">
        <v>1202</v>
      </c>
      <c r="O35" s="95">
        <v>1185</v>
      </c>
      <c r="P35" s="2"/>
      <c r="Q35" s="95">
        <v>801</v>
      </c>
      <c r="R35" s="95">
        <v>1354</v>
      </c>
      <c r="S35" s="2"/>
      <c r="T35" s="95">
        <v>960</v>
      </c>
      <c r="U35" s="95">
        <v>1189</v>
      </c>
      <c r="V35" s="2"/>
      <c r="W35" s="95">
        <v>141</v>
      </c>
      <c r="X35" s="95">
        <v>303</v>
      </c>
      <c r="Y35" s="2"/>
      <c r="Z35" s="95">
        <v>299</v>
      </c>
      <c r="AA35" s="95">
        <v>1037</v>
      </c>
      <c r="AB35" s="95">
        <v>115</v>
      </c>
      <c r="AC35" s="95">
        <v>45</v>
      </c>
      <c r="AD35" s="95">
        <v>498</v>
      </c>
      <c r="AE35" s="95">
        <v>139</v>
      </c>
      <c r="AF35" s="2"/>
      <c r="AG35" s="41">
        <v>881</v>
      </c>
      <c r="AH35" s="41">
        <v>877</v>
      </c>
      <c r="AI35" s="41">
        <v>838</v>
      </c>
      <c r="AJ35" s="41">
        <v>1231</v>
      </c>
      <c r="AK35" s="41">
        <v>1256</v>
      </c>
      <c r="AL35" s="41">
        <v>1214</v>
      </c>
      <c r="AM35" s="2"/>
      <c r="AN35" s="41">
        <v>954</v>
      </c>
      <c r="AO35" s="41">
        <v>405</v>
      </c>
      <c r="AP35" s="41">
        <v>874</v>
      </c>
      <c r="AQ35" s="41">
        <v>823</v>
      </c>
      <c r="AR35" s="41">
        <v>726</v>
      </c>
      <c r="AS35" s="41">
        <v>686</v>
      </c>
      <c r="AT35" s="41">
        <v>541</v>
      </c>
      <c r="AU35" s="46"/>
      <c r="AV35" s="41">
        <v>782</v>
      </c>
      <c r="AW35" s="41">
        <v>529</v>
      </c>
      <c r="AX35" s="2"/>
      <c r="AY35" s="41">
        <v>885</v>
      </c>
      <c r="AZ35" s="41">
        <v>370</v>
      </c>
      <c r="BA35" s="46"/>
      <c r="BB35" s="93"/>
      <c r="BC35" s="93"/>
      <c r="BD35" s="93"/>
      <c r="BE35" s="93"/>
    </row>
    <row r="36" spans="1:57" x14ac:dyDescent="0.25">
      <c r="A36" s="94" t="s">
        <v>644</v>
      </c>
      <c r="C36" s="41">
        <v>10</v>
      </c>
      <c r="D36" s="41">
        <v>39</v>
      </c>
      <c r="E36" s="41">
        <v>0</v>
      </c>
      <c r="F36" s="41">
        <v>0</v>
      </c>
      <c r="G36" s="41">
        <v>0</v>
      </c>
      <c r="H36" s="2"/>
      <c r="I36" s="41">
        <v>8</v>
      </c>
      <c r="J36" s="41">
        <v>37</v>
      </c>
      <c r="K36" s="2"/>
      <c r="L36" s="41">
        <v>8</v>
      </c>
      <c r="M36" s="41">
        <v>8</v>
      </c>
      <c r="N36" s="41">
        <v>36</v>
      </c>
      <c r="O36" s="41">
        <v>35</v>
      </c>
      <c r="P36" s="2"/>
      <c r="Q36" s="41">
        <v>9</v>
      </c>
      <c r="R36" s="41">
        <v>34</v>
      </c>
      <c r="S36" s="2"/>
      <c r="T36" s="41">
        <v>9</v>
      </c>
      <c r="U36" s="41">
        <v>34</v>
      </c>
      <c r="V36" s="2"/>
      <c r="W36" s="41">
        <v>2</v>
      </c>
      <c r="X36" s="41">
        <v>1</v>
      </c>
      <c r="Y36" s="2"/>
      <c r="Z36" s="41">
        <v>6</v>
      </c>
      <c r="AA36" s="41">
        <v>33</v>
      </c>
      <c r="AB36" s="41">
        <v>12</v>
      </c>
      <c r="AC36" s="41">
        <v>1</v>
      </c>
      <c r="AD36" s="41">
        <v>0</v>
      </c>
      <c r="AE36" s="41">
        <v>0</v>
      </c>
      <c r="AF36" s="2"/>
      <c r="AG36" s="41">
        <v>11</v>
      </c>
      <c r="AH36" s="41">
        <v>12</v>
      </c>
      <c r="AI36" s="41">
        <v>10</v>
      </c>
      <c r="AJ36" s="41">
        <v>31</v>
      </c>
      <c r="AK36" s="41">
        <v>30</v>
      </c>
      <c r="AL36" s="41">
        <v>35</v>
      </c>
      <c r="AM36" s="2"/>
      <c r="AN36" s="41">
        <v>10</v>
      </c>
      <c r="AO36" s="41">
        <v>11</v>
      </c>
      <c r="AP36" s="41">
        <v>7</v>
      </c>
      <c r="AQ36" s="41">
        <v>8</v>
      </c>
      <c r="AR36" s="41">
        <v>20</v>
      </c>
      <c r="AS36" s="41">
        <v>17</v>
      </c>
      <c r="AT36" s="41">
        <v>19</v>
      </c>
      <c r="AU36" s="46"/>
      <c r="AV36" s="41">
        <v>22</v>
      </c>
      <c r="AW36" s="41">
        <v>14</v>
      </c>
      <c r="AX36" s="2"/>
      <c r="AY36" s="41">
        <v>24</v>
      </c>
      <c r="AZ36" s="41">
        <v>11</v>
      </c>
      <c r="BA36" s="46"/>
      <c r="BB36" s="93"/>
      <c r="BC36" s="93"/>
      <c r="BD36" s="93"/>
      <c r="BE36" s="93"/>
    </row>
    <row r="37" spans="1:57" s="192" customFormat="1" x14ac:dyDescent="0.25">
      <c r="A37" s="94" t="s">
        <v>645</v>
      </c>
      <c r="C37" s="95">
        <v>59</v>
      </c>
      <c r="D37" s="95">
        <v>183</v>
      </c>
      <c r="E37" s="95">
        <v>2</v>
      </c>
      <c r="F37" s="95">
        <v>1</v>
      </c>
      <c r="G37" s="95">
        <v>1</v>
      </c>
      <c r="H37" s="2"/>
      <c r="I37" s="95">
        <v>50</v>
      </c>
      <c r="J37" s="95">
        <v>191</v>
      </c>
      <c r="K37" s="2"/>
      <c r="L37" s="95">
        <v>63</v>
      </c>
      <c r="M37" s="95">
        <v>46</v>
      </c>
      <c r="N37" s="95">
        <v>174</v>
      </c>
      <c r="O37" s="95">
        <v>184</v>
      </c>
      <c r="P37" s="2"/>
      <c r="Q37" s="95">
        <v>52</v>
      </c>
      <c r="R37" s="95">
        <v>179</v>
      </c>
      <c r="S37" s="2"/>
      <c r="T37" s="95">
        <v>54</v>
      </c>
      <c r="U37" s="95">
        <v>171</v>
      </c>
      <c r="V37" s="2"/>
      <c r="W37" s="95">
        <v>24</v>
      </c>
      <c r="X37" s="95">
        <v>34</v>
      </c>
      <c r="Y37" s="2"/>
      <c r="Z37" s="95">
        <v>46</v>
      </c>
      <c r="AA37" s="95">
        <v>134</v>
      </c>
      <c r="AB37" s="95">
        <v>30</v>
      </c>
      <c r="AC37" s="95">
        <v>10</v>
      </c>
      <c r="AD37" s="95">
        <v>6</v>
      </c>
      <c r="AE37" s="95">
        <v>15</v>
      </c>
      <c r="AF37" s="2"/>
      <c r="AG37" s="95">
        <v>53</v>
      </c>
      <c r="AH37" s="95">
        <v>59</v>
      </c>
      <c r="AI37" s="95">
        <v>47</v>
      </c>
      <c r="AJ37" s="95">
        <v>174</v>
      </c>
      <c r="AK37" s="95">
        <v>171</v>
      </c>
      <c r="AL37" s="95">
        <v>171</v>
      </c>
      <c r="AM37" s="2"/>
      <c r="AN37" s="95">
        <v>53</v>
      </c>
      <c r="AO37" s="95">
        <v>40</v>
      </c>
      <c r="AP37" s="95">
        <v>34</v>
      </c>
      <c r="AQ37" s="95">
        <v>28</v>
      </c>
      <c r="AR37" s="95">
        <v>74</v>
      </c>
      <c r="AS37" s="95">
        <v>57</v>
      </c>
      <c r="AT37" s="95">
        <v>61</v>
      </c>
      <c r="AU37" s="46"/>
      <c r="AV37" s="95">
        <v>60</v>
      </c>
      <c r="AW37" s="95">
        <v>48</v>
      </c>
      <c r="AX37" s="2"/>
      <c r="AY37" s="95">
        <v>63</v>
      </c>
      <c r="AZ37" s="95">
        <v>40</v>
      </c>
      <c r="BA37" s="46"/>
      <c r="BB37" s="93"/>
      <c r="BC37" s="93"/>
      <c r="BD37" s="93"/>
      <c r="BE37" s="93"/>
    </row>
    <row r="38" spans="1:57" s="192" customFormat="1" ht="15.75" thickBot="1" x14ac:dyDescent="0.3">
      <c r="A38" s="94" t="s">
        <v>651</v>
      </c>
      <c r="C38" s="41">
        <f>9+2</f>
        <v>11</v>
      </c>
      <c r="D38" s="41">
        <f>32+3</f>
        <v>35</v>
      </c>
      <c r="E38" s="41">
        <v>0</v>
      </c>
      <c r="F38" s="41">
        <v>0</v>
      </c>
      <c r="G38" s="41">
        <v>0</v>
      </c>
      <c r="H38" s="2"/>
      <c r="I38" s="41">
        <f>8+2</f>
        <v>10</v>
      </c>
      <c r="J38" s="41">
        <f>32+3</f>
        <v>35</v>
      </c>
      <c r="K38" s="2"/>
      <c r="L38" s="41">
        <f>9+2</f>
        <v>11</v>
      </c>
      <c r="M38" s="41">
        <f>7+2</f>
        <v>9</v>
      </c>
      <c r="N38" s="41">
        <f>30+2</f>
        <v>32</v>
      </c>
      <c r="O38" s="41">
        <f>30+3</f>
        <v>33</v>
      </c>
      <c r="P38" s="2"/>
      <c r="Q38" s="41">
        <f>8+2</f>
        <v>10</v>
      </c>
      <c r="R38" s="41">
        <f>30+3</f>
        <v>33</v>
      </c>
      <c r="S38" s="2"/>
      <c r="T38" s="41">
        <f>8+2</f>
        <v>10</v>
      </c>
      <c r="U38" s="41">
        <f>31+3</f>
        <v>34</v>
      </c>
      <c r="V38" s="2"/>
      <c r="W38" s="41">
        <f>2</f>
        <v>2</v>
      </c>
      <c r="X38" s="41">
        <f>2</f>
        <v>2</v>
      </c>
      <c r="Y38" s="2"/>
      <c r="Z38" s="41">
        <f>9+1</f>
        <v>10</v>
      </c>
      <c r="AA38" s="41">
        <f>21+1</f>
        <v>22</v>
      </c>
      <c r="AB38" s="41">
        <f>3+0</f>
        <v>3</v>
      </c>
      <c r="AC38" s="41">
        <v>0</v>
      </c>
      <c r="AD38" s="41">
        <f>1</f>
        <v>1</v>
      </c>
      <c r="AE38" s="41">
        <f>4</f>
        <v>4</v>
      </c>
      <c r="AF38" s="2"/>
      <c r="AG38" s="41">
        <f>7+0</f>
        <v>7</v>
      </c>
      <c r="AH38" s="41">
        <f>8+1</f>
        <v>9</v>
      </c>
      <c r="AI38" s="41">
        <f>9+0</f>
        <v>9</v>
      </c>
      <c r="AJ38" s="41">
        <f>32</f>
        <v>32</v>
      </c>
      <c r="AK38" s="41">
        <f>33</f>
        <v>33</v>
      </c>
      <c r="AL38" s="41">
        <f>31</f>
        <v>31</v>
      </c>
      <c r="AM38" s="2"/>
      <c r="AN38" s="41">
        <f>9+0</f>
        <v>9</v>
      </c>
      <c r="AO38" s="41">
        <f>8+1</f>
        <v>9</v>
      </c>
      <c r="AP38" s="41">
        <f>6</f>
        <v>6</v>
      </c>
      <c r="AQ38" s="41">
        <f>1</f>
        <v>1</v>
      </c>
      <c r="AR38" s="41">
        <f>2</f>
        <v>2</v>
      </c>
      <c r="AS38" s="41">
        <f>3</f>
        <v>3</v>
      </c>
      <c r="AT38" s="41">
        <f>6</f>
        <v>6</v>
      </c>
      <c r="AU38" s="46"/>
      <c r="AV38" s="41">
        <f>8</f>
        <v>8</v>
      </c>
      <c r="AW38" s="41">
        <f>5</f>
        <v>5</v>
      </c>
      <c r="AX38" s="2"/>
      <c r="AY38" s="41">
        <f>10</f>
        <v>10</v>
      </c>
      <c r="AZ38" s="41">
        <f>3</f>
        <v>3</v>
      </c>
      <c r="BA38" s="46"/>
      <c r="BB38" s="93"/>
      <c r="BC38" s="93"/>
      <c r="BD38" s="93"/>
      <c r="BE38" s="93"/>
    </row>
    <row r="39" spans="1:57" ht="15.75" thickBot="1" x14ac:dyDescent="0.3">
      <c r="A39" s="87" t="s">
        <v>45</v>
      </c>
      <c r="C39" s="51">
        <f>+SUM(C33:C38)</f>
        <v>2108</v>
      </c>
      <c r="D39" s="51">
        <f t="shared" ref="D39:G39" si="4">+SUM(D33:D38)</f>
        <v>4174</v>
      </c>
      <c r="E39" s="51">
        <f t="shared" si="4"/>
        <v>24</v>
      </c>
      <c r="F39" s="51">
        <f t="shared" si="4"/>
        <v>27</v>
      </c>
      <c r="G39" s="51">
        <f t="shared" si="4"/>
        <v>19</v>
      </c>
      <c r="H39" s="192"/>
      <c r="I39" s="51">
        <f t="shared" ref="I39:J39" si="5">+SUM(I33:I38)</f>
        <v>2061</v>
      </c>
      <c r="J39" s="51">
        <f t="shared" si="5"/>
        <v>4065</v>
      </c>
      <c r="K39" s="217"/>
      <c r="L39" s="51">
        <f t="shared" ref="L39" si="6">+SUM(L33:L38)</f>
        <v>2277</v>
      </c>
      <c r="M39" s="51">
        <f t="shared" ref="M39" si="7">+SUM(M33:M38)</f>
        <v>2049</v>
      </c>
      <c r="N39" s="51">
        <f t="shared" ref="N39" si="8">+SUM(N33:N38)</f>
        <v>3781</v>
      </c>
      <c r="O39" s="51">
        <f t="shared" ref="O39" si="9">+SUM(O33:O38)</f>
        <v>3756</v>
      </c>
      <c r="P39" s="192"/>
      <c r="Q39" s="51">
        <f t="shared" ref="Q39" si="10">+SUM(Q33:Q38)</f>
        <v>1922</v>
      </c>
      <c r="R39" s="51">
        <f t="shared" ref="R39" si="11">+SUM(R33:R38)</f>
        <v>3950</v>
      </c>
      <c r="S39" s="192"/>
      <c r="T39" s="51">
        <f t="shared" ref="T39" si="12">+SUM(T33:T38)</f>
        <v>2119</v>
      </c>
      <c r="U39" s="51">
        <f t="shared" ref="U39" si="13">+SUM(U33:U38)</f>
        <v>3757</v>
      </c>
      <c r="V39" s="192"/>
      <c r="W39" s="51">
        <f t="shared" ref="W39" si="14">+SUM(W33:W38)</f>
        <v>617</v>
      </c>
      <c r="X39" s="51">
        <f t="shared" ref="X39" si="15">+SUM(X33:X38)</f>
        <v>710</v>
      </c>
      <c r="Y39" s="192"/>
      <c r="Z39" s="51">
        <f t="shared" ref="Z39" si="16">+SUM(Z33:Z38)</f>
        <v>1305</v>
      </c>
      <c r="AA39" s="51">
        <f t="shared" ref="AA39" si="17">+SUM(AA33:AA38)</f>
        <v>3390</v>
      </c>
      <c r="AB39" s="51">
        <f t="shared" ref="AB39" si="18">+SUM(AB33:AB38)</f>
        <v>380</v>
      </c>
      <c r="AC39" s="51">
        <f t="shared" ref="AC39" si="19">+SUM(AC33:AC38)</f>
        <v>202</v>
      </c>
      <c r="AD39" s="51">
        <f t="shared" ref="AD39" si="20">+SUM(AD33:AD38)</f>
        <v>578</v>
      </c>
      <c r="AE39" s="51">
        <f t="shared" ref="AE39" si="21">+SUM(AE33:AE38)</f>
        <v>393</v>
      </c>
      <c r="AF39" s="192"/>
      <c r="AG39" s="51">
        <f t="shared" ref="AG39" si="22">+SUM(AG33:AG38)</f>
        <v>2021</v>
      </c>
      <c r="AH39" s="51">
        <f t="shared" ref="AH39" si="23">+SUM(AH33:AH38)</f>
        <v>1985</v>
      </c>
      <c r="AI39" s="51">
        <f t="shared" ref="AI39" si="24">+SUM(AI33:AI38)</f>
        <v>1880</v>
      </c>
      <c r="AJ39" s="51">
        <f t="shared" ref="AJ39" si="25">+SUM(AJ33:AJ38)</f>
        <v>3803</v>
      </c>
      <c r="AK39" s="51">
        <f t="shared" ref="AK39" si="26">+SUM(AK33:AK38)</f>
        <v>3755</v>
      </c>
      <c r="AL39" s="51">
        <f t="shared" ref="AL39" si="27">+SUM(AL33:AL38)</f>
        <v>3756</v>
      </c>
      <c r="AM39" s="192"/>
      <c r="AN39" s="51">
        <f t="shared" ref="AN39" si="28">+SUM(AN33:AN38)</f>
        <v>1910</v>
      </c>
      <c r="AO39" s="51">
        <f t="shared" ref="AO39" si="29">+SUM(AO33:AO38)</f>
        <v>1221</v>
      </c>
      <c r="AP39" s="51">
        <f t="shared" ref="AP39" si="30">+SUM(AP33:AP38)</f>
        <v>1626</v>
      </c>
      <c r="AQ39" s="51">
        <f t="shared" ref="AQ39" si="31">+SUM(AQ33:AQ38)</f>
        <v>1331</v>
      </c>
      <c r="AR39" s="51">
        <f t="shared" ref="AR39" si="32">+SUM(AR33:AR38)</f>
        <v>1980</v>
      </c>
      <c r="AS39" s="51">
        <f t="shared" ref="AS39" si="33">+SUM(AS33:AS38)</f>
        <v>1786</v>
      </c>
      <c r="AT39" s="51">
        <f t="shared" ref="AT39" si="34">+SUM(AT33:AT38)</f>
        <v>1495</v>
      </c>
      <c r="AU39" s="96"/>
      <c r="AV39" s="51">
        <f t="shared" ref="AV39" si="35">+SUM(AV33:AV38)</f>
        <v>2279</v>
      </c>
      <c r="AW39" s="51">
        <f t="shared" ref="AW39" si="36">+SUM(AW33:AW38)</f>
        <v>1481</v>
      </c>
      <c r="AX39" s="192"/>
      <c r="AY39" s="51">
        <f t="shared" ref="AY39" si="37">+SUM(AY33:AY38)</f>
        <v>2356</v>
      </c>
      <c r="AZ39" s="51">
        <f t="shared" ref="AZ39" si="38">+SUM(AZ33:AZ38)</f>
        <v>1064</v>
      </c>
    </row>
  </sheetData>
  <sortState ref="A36:A37">
    <sortCondition ref="A36"/>
  </sortState>
  <mergeCells count="36">
    <mergeCell ref="BB2:BE3"/>
    <mergeCell ref="AN3:AT3"/>
    <mergeCell ref="AV3:AW3"/>
    <mergeCell ref="AY3:AZ3"/>
    <mergeCell ref="AV6:AV8"/>
    <mergeCell ref="AW6:AW8"/>
    <mergeCell ref="AY6:AY8"/>
    <mergeCell ref="AZ6:AZ8"/>
    <mergeCell ref="Q3:R3"/>
    <mergeCell ref="T3:U3"/>
    <mergeCell ref="W3:X3"/>
    <mergeCell ref="Z3:AE3"/>
    <mergeCell ref="AG3:AL3"/>
    <mergeCell ref="C2:G2"/>
    <mergeCell ref="I2:O2"/>
    <mergeCell ref="C3:G3"/>
    <mergeCell ref="I3:J3"/>
    <mergeCell ref="L3:O3"/>
    <mergeCell ref="BD11:BD14"/>
    <mergeCell ref="BD15:BD17"/>
    <mergeCell ref="BD18:BD21"/>
    <mergeCell ref="BC11:BC14"/>
    <mergeCell ref="BC15:BC17"/>
    <mergeCell ref="BC18:BC21"/>
    <mergeCell ref="BD28:BD31"/>
    <mergeCell ref="BC28:BC31"/>
    <mergeCell ref="BD26:BD27"/>
    <mergeCell ref="BC26:BC27"/>
    <mergeCell ref="BD22:BD25"/>
    <mergeCell ref="BC22:BC25"/>
    <mergeCell ref="BE11:BE14"/>
    <mergeCell ref="BE28:BE31"/>
    <mergeCell ref="BE26:BE27"/>
    <mergeCell ref="BE22:BE25"/>
    <mergeCell ref="BE18:BE21"/>
    <mergeCell ref="BE15:BE17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3" manualBreakCount="3">
    <brk id="18" max="1048575" man="1"/>
    <brk id="31" max="1048575" man="1"/>
    <brk id="4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2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customWidth="1"/>
    <col min="2" max="2" width="1.7109375" customWidth="1"/>
    <col min="3" max="3" width="13.7109375" customWidth="1"/>
    <col min="4" max="6" width="14" customWidth="1"/>
    <col min="7" max="7" width="15" customWidth="1"/>
    <col min="8" max="8" width="1.7109375" customWidth="1"/>
    <col min="9" max="10" width="14" customWidth="1"/>
    <col min="11" max="11" width="1.7109375" customWidth="1"/>
    <col min="12" max="15" width="14" customWidth="1"/>
    <col min="16" max="16" width="1.7109375" customWidth="1"/>
    <col min="17" max="18" width="14" customWidth="1"/>
    <col min="19" max="19" width="1.7109375" customWidth="1"/>
    <col min="20" max="21" width="14" customWidth="1"/>
    <col min="22" max="22" width="1.7109375" customWidth="1"/>
    <col min="23" max="24" width="14" customWidth="1"/>
    <col min="25" max="25" width="1.7109375" customWidth="1"/>
    <col min="26" max="27" width="11.85546875" customWidth="1"/>
    <col min="28" max="28" width="1.7109375" customWidth="1"/>
    <col min="29" max="30" width="11.85546875" customWidth="1"/>
    <col min="31" max="31" width="1.7109375" customWidth="1"/>
    <col min="34" max="34" width="9.5703125" customWidth="1"/>
    <col min="35" max="35" width="11" bestFit="1" customWidth="1"/>
  </cols>
  <sheetData>
    <row r="2" spans="1:35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145"/>
      <c r="X2" s="146"/>
      <c r="Y2" s="9"/>
      <c r="Z2" s="80"/>
      <c r="AA2" s="81"/>
      <c r="AB2" s="9"/>
      <c r="AC2" s="80"/>
      <c r="AD2" s="81"/>
      <c r="AF2" s="234" t="s">
        <v>5</v>
      </c>
      <c r="AG2" s="235"/>
      <c r="AH2" s="235"/>
      <c r="AI2" s="236"/>
    </row>
    <row r="3" spans="1:35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188</v>
      </c>
      <c r="X3" s="223"/>
      <c r="Y3" s="9"/>
      <c r="Z3" s="222" t="s">
        <v>126</v>
      </c>
      <c r="AA3" s="223"/>
      <c r="AB3" s="9"/>
      <c r="AC3" s="222" t="s">
        <v>127</v>
      </c>
      <c r="AD3" s="223"/>
      <c r="AF3" s="219"/>
      <c r="AG3" s="220"/>
      <c r="AH3" s="220"/>
      <c r="AI3" s="221"/>
    </row>
    <row r="4" spans="1:35" ht="5.0999999999999996" customHeight="1" thickBot="1" x14ac:dyDescent="0.3">
      <c r="C4" s="109"/>
      <c r="D4" s="110"/>
      <c r="E4" s="110"/>
      <c r="F4" s="110"/>
      <c r="G4" s="111"/>
      <c r="I4" s="109"/>
      <c r="J4" s="110"/>
      <c r="K4" s="140"/>
      <c r="L4" s="68"/>
      <c r="M4" s="68"/>
      <c r="N4" s="68"/>
      <c r="O4" s="69"/>
      <c r="Q4" s="82"/>
      <c r="R4" s="83"/>
      <c r="T4" s="82"/>
      <c r="U4" s="83"/>
      <c r="W4" s="147"/>
      <c r="X4" s="148"/>
      <c r="Y4" s="9"/>
      <c r="Z4" s="75"/>
      <c r="AA4" s="74"/>
      <c r="AB4" s="9"/>
      <c r="AC4" s="75"/>
      <c r="AD4" s="74"/>
      <c r="AF4" s="204"/>
      <c r="AG4" s="205"/>
      <c r="AH4" s="205"/>
      <c r="AI4" s="206"/>
    </row>
    <row r="5" spans="1:35" x14ac:dyDescent="0.25">
      <c r="C5" s="5"/>
      <c r="D5" s="8"/>
      <c r="E5" s="8"/>
      <c r="F5" s="8"/>
      <c r="G5" s="6"/>
      <c r="I5" s="5"/>
      <c r="J5" s="6"/>
      <c r="L5" s="89"/>
      <c r="M5" s="98"/>
      <c r="N5" s="98"/>
      <c r="O5" s="6"/>
      <c r="Q5" s="5"/>
      <c r="R5" s="6"/>
      <c r="T5" s="5"/>
      <c r="U5" s="6"/>
      <c r="W5" s="141"/>
      <c r="X5" s="142"/>
      <c r="Y5" s="9"/>
      <c r="Z5" s="10"/>
      <c r="AA5" s="12"/>
      <c r="AB5" s="9"/>
      <c r="AC5" s="10"/>
      <c r="AD5" s="12"/>
      <c r="AF5" s="16"/>
      <c r="AG5" s="17"/>
      <c r="AH5" s="17"/>
      <c r="AI5" s="18"/>
    </row>
    <row r="6" spans="1:35" ht="15" customHeight="1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20" t="str">
        <f>+'Lead Sheet'!S6</f>
        <v>Vince</v>
      </c>
      <c r="J6" s="21" t="str">
        <f>+'Lead Sheet'!T6</f>
        <v>Vince</v>
      </c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Q6" s="20" t="str">
        <f>+'Lead Sheet'!AR6</f>
        <v>Joseph J.</v>
      </c>
      <c r="R6" s="21" t="str">
        <f>+'Lead Sheet'!AS6</f>
        <v>Lisa</v>
      </c>
      <c r="T6" s="20" t="str">
        <f>+'Lead Sheet'!AU6</f>
        <v>Frank X.</v>
      </c>
      <c r="U6" s="21" t="str">
        <f>+'Lead Sheet'!AV6</f>
        <v>Celeste</v>
      </c>
      <c r="W6" s="133" t="s">
        <v>246</v>
      </c>
      <c r="X6" s="134" t="s">
        <v>183</v>
      </c>
      <c r="Y6" s="9"/>
      <c r="Z6" s="229" t="s">
        <v>9</v>
      </c>
      <c r="AA6" s="230" t="s">
        <v>10</v>
      </c>
      <c r="AB6" s="9"/>
      <c r="AC6" s="229" t="s">
        <v>9</v>
      </c>
      <c r="AD6" s="230" t="s">
        <v>10</v>
      </c>
      <c r="AF6" s="22" t="s">
        <v>8</v>
      </c>
      <c r="AG6" s="23" t="s">
        <v>8</v>
      </c>
      <c r="AH6" s="23" t="s">
        <v>8</v>
      </c>
      <c r="AI6" s="24" t="s">
        <v>8</v>
      </c>
    </row>
    <row r="7" spans="1:35" ht="15" customHeight="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20" t="str">
        <f>+'Lead Sheet'!S7</f>
        <v>POLISTINA</v>
      </c>
      <c r="J7" s="21" t="str">
        <f>+'Lead Sheet'!T7</f>
        <v>MAZZEO</v>
      </c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Q7" s="20" t="str">
        <f>+'Lead Sheet'!AR7</f>
        <v>GIRALO</v>
      </c>
      <c r="R7" s="21" t="str">
        <f>+'Lead Sheet'!AS7</f>
        <v>JIAMPETTI</v>
      </c>
      <c r="T7" s="20" t="str">
        <f>+'Lead Sheet'!AU7</f>
        <v>BALLES</v>
      </c>
      <c r="U7" s="21" t="str">
        <f>+'Lead Sheet'!AV7</f>
        <v>FERNANDEZ</v>
      </c>
      <c r="W7" s="133" t="s">
        <v>247</v>
      </c>
      <c r="X7" s="134" t="s">
        <v>159</v>
      </c>
      <c r="Y7" s="9"/>
      <c r="Z7" s="229"/>
      <c r="AA7" s="230"/>
      <c r="AB7" s="9"/>
      <c r="AC7" s="229"/>
      <c r="AD7" s="230"/>
      <c r="AF7" s="22" t="s">
        <v>12</v>
      </c>
      <c r="AG7" s="23" t="s">
        <v>158</v>
      </c>
      <c r="AH7" s="23" t="s">
        <v>13</v>
      </c>
      <c r="AI7" s="24" t="s">
        <v>14</v>
      </c>
    </row>
    <row r="8" spans="1:35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20" t="str">
        <f>+'Lead Sheet'!S8</f>
        <v>Republican</v>
      </c>
      <c r="J8" s="21" t="str">
        <f>+'Lead Sheet'!T8</f>
        <v>Democrat</v>
      </c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Q8" s="20" t="str">
        <f>+'Lead Sheet'!AR8</f>
        <v>Republican</v>
      </c>
      <c r="R8" s="21" t="str">
        <f>+'Lead Sheet'!AS8</f>
        <v>Democrat</v>
      </c>
      <c r="T8" s="20" t="str">
        <f>+'Lead Sheet'!AU8</f>
        <v>Republican</v>
      </c>
      <c r="U8" s="21" t="str">
        <f>+'Lead Sheet'!AV8</f>
        <v>Democrat</v>
      </c>
      <c r="W8" s="133" t="s">
        <v>16</v>
      </c>
      <c r="X8" s="134" t="s">
        <v>59</v>
      </c>
      <c r="Y8" s="9"/>
      <c r="Z8" s="229"/>
      <c r="AA8" s="230"/>
      <c r="AB8" s="9"/>
      <c r="AC8" s="229"/>
      <c r="AD8" s="230"/>
      <c r="AF8" s="22" t="s">
        <v>18</v>
      </c>
      <c r="AG8" s="23" t="s">
        <v>145</v>
      </c>
      <c r="AH8" s="23" t="s">
        <v>19</v>
      </c>
      <c r="AI8" s="24" t="s">
        <v>18</v>
      </c>
    </row>
    <row r="9" spans="1:35" x14ac:dyDescent="0.25">
      <c r="C9" s="60"/>
      <c r="D9" s="31"/>
      <c r="E9" s="31"/>
      <c r="F9" s="31"/>
      <c r="G9" s="61" t="str">
        <f>+'Lead Sheet'!G9</f>
        <v>Party</v>
      </c>
      <c r="I9" s="20"/>
      <c r="J9" s="21"/>
      <c r="L9" s="20"/>
      <c r="M9" s="7"/>
      <c r="N9" s="7"/>
      <c r="O9" s="21"/>
      <c r="Q9" s="20"/>
      <c r="R9" s="21"/>
      <c r="T9" s="20"/>
      <c r="U9" s="21"/>
      <c r="W9" s="143"/>
      <c r="X9" s="134"/>
      <c r="Y9" s="9"/>
      <c r="Z9" s="27"/>
      <c r="AA9" s="28"/>
      <c r="AB9" s="9"/>
      <c r="AC9" s="27"/>
      <c r="AD9" s="28"/>
      <c r="AF9" s="119"/>
      <c r="AG9" s="118"/>
      <c r="AH9" s="118"/>
      <c r="AI9" s="120"/>
    </row>
    <row r="10" spans="1:35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136"/>
      <c r="X10" s="137"/>
      <c r="Y10" s="9"/>
      <c r="Z10" s="36"/>
      <c r="AA10" s="38"/>
      <c r="AB10" s="9"/>
      <c r="AC10" s="36"/>
      <c r="AD10" s="38"/>
      <c r="AF10" s="33"/>
      <c r="AG10" s="34"/>
      <c r="AH10" s="34"/>
      <c r="AI10" s="35"/>
    </row>
    <row r="11" spans="1:35" x14ac:dyDescent="0.25">
      <c r="A11" t="s">
        <v>242</v>
      </c>
      <c r="C11" s="59">
        <v>622</v>
      </c>
      <c r="D11" s="59">
        <v>260</v>
      </c>
      <c r="E11" s="59">
        <v>3</v>
      </c>
      <c r="F11" s="59">
        <v>2</v>
      </c>
      <c r="G11" s="59">
        <v>0</v>
      </c>
      <c r="I11" s="59">
        <v>614</v>
      </c>
      <c r="J11" s="59">
        <v>263</v>
      </c>
      <c r="L11" s="59">
        <v>626</v>
      </c>
      <c r="M11" s="59">
        <v>617</v>
      </c>
      <c r="N11" s="59">
        <v>249</v>
      </c>
      <c r="O11" s="59">
        <v>240</v>
      </c>
      <c r="Q11" s="59">
        <v>618</v>
      </c>
      <c r="R11" s="59">
        <v>253</v>
      </c>
      <c r="T11" s="59">
        <v>644</v>
      </c>
      <c r="U11" s="59">
        <v>221</v>
      </c>
      <c r="W11" s="59">
        <v>685</v>
      </c>
      <c r="X11" s="59"/>
      <c r="Z11" s="154">
        <v>431</v>
      </c>
      <c r="AA11" s="154">
        <v>331</v>
      </c>
      <c r="AC11" s="59">
        <v>534</v>
      </c>
      <c r="AD11" s="59">
        <v>221</v>
      </c>
      <c r="AF11" s="59">
        <v>888</v>
      </c>
      <c r="AG11" s="77">
        <v>29</v>
      </c>
      <c r="AH11" s="77">
        <v>153</v>
      </c>
      <c r="AI11" s="53">
        <f>0+22</f>
        <v>22</v>
      </c>
    </row>
    <row r="12" spans="1:35" x14ac:dyDescent="0.25">
      <c r="A12" t="s">
        <v>243</v>
      </c>
      <c r="C12" s="40">
        <v>433</v>
      </c>
      <c r="D12" s="40">
        <v>174</v>
      </c>
      <c r="E12" s="40">
        <v>3</v>
      </c>
      <c r="F12" s="40">
        <v>1</v>
      </c>
      <c r="G12" s="40">
        <v>1</v>
      </c>
      <c r="I12" s="40">
        <v>422</v>
      </c>
      <c r="J12" s="40">
        <v>180</v>
      </c>
      <c r="L12" s="40">
        <v>431</v>
      </c>
      <c r="M12" s="40">
        <v>415</v>
      </c>
      <c r="N12" s="40">
        <v>169</v>
      </c>
      <c r="O12" s="40">
        <v>167</v>
      </c>
      <c r="Q12" s="40">
        <v>436</v>
      </c>
      <c r="R12" s="40">
        <v>158</v>
      </c>
      <c r="T12" s="40">
        <v>451</v>
      </c>
      <c r="U12" s="40">
        <v>144</v>
      </c>
      <c r="W12" s="40">
        <v>466</v>
      </c>
      <c r="X12" s="40"/>
      <c r="Z12" s="139">
        <v>268</v>
      </c>
      <c r="AA12" s="139">
        <v>256</v>
      </c>
      <c r="AC12" s="40">
        <v>343</v>
      </c>
      <c r="AD12" s="40">
        <v>178</v>
      </c>
      <c r="AF12" s="40">
        <v>616</v>
      </c>
      <c r="AG12" s="42">
        <v>30</v>
      </c>
      <c r="AH12" s="42">
        <v>118</v>
      </c>
      <c r="AI12" s="42">
        <f>3+7</f>
        <v>10</v>
      </c>
    </row>
    <row r="13" spans="1:35" x14ac:dyDescent="0.25">
      <c r="A13" t="s">
        <v>244</v>
      </c>
      <c r="C13" s="40">
        <v>513</v>
      </c>
      <c r="D13" s="40">
        <v>223</v>
      </c>
      <c r="E13" s="40">
        <v>3</v>
      </c>
      <c r="F13" s="40">
        <v>0</v>
      </c>
      <c r="G13" s="40">
        <v>0</v>
      </c>
      <c r="I13" s="40">
        <v>496</v>
      </c>
      <c r="J13" s="40">
        <v>231</v>
      </c>
      <c r="L13" s="40">
        <v>491</v>
      </c>
      <c r="M13" s="40">
        <v>495</v>
      </c>
      <c r="N13" s="40">
        <v>228</v>
      </c>
      <c r="O13" s="40">
        <v>223</v>
      </c>
      <c r="Q13" s="40">
        <v>497</v>
      </c>
      <c r="R13" s="40">
        <v>218</v>
      </c>
      <c r="T13" s="40">
        <v>515</v>
      </c>
      <c r="U13" s="40">
        <v>205</v>
      </c>
      <c r="W13" s="40">
        <v>557</v>
      </c>
      <c r="X13" s="40"/>
      <c r="Z13" s="139">
        <v>329</v>
      </c>
      <c r="AA13" s="139">
        <v>307</v>
      </c>
      <c r="AC13" s="40">
        <v>415</v>
      </c>
      <c r="AD13" s="40">
        <v>212</v>
      </c>
      <c r="AF13" s="40">
        <v>745</v>
      </c>
      <c r="AG13" s="42">
        <v>39</v>
      </c>
      <c r="AH13" s="42">
        <v>145</v>
      </c>
      <c r="AI13" s="42">
        <f>1+17</f>
        <v>18</v>
      </c>
    </row>
    <row r="14" spans="1:35" x14ac:dyDescent="0.25">
      <c r="A14" t="s">
        <v>245</v>
      </c>
      <c r="C14" s="40">
        <v>279</v>
      </c>
      <c r="D14" s="40">
        <v>172</v>
      </c>
      <c r="E14" s="40">
        <v>2</v>
      </c>
      <c r="F14" s="40">
        <v>0</v>
      </c>
      <c r="G14" s="40">
        <v>0</v>
      </c>
      <c r="I14" s="40">
        <v>274</v>
      </c>
      <c r="J14" s="40">
        <v>176</v>
      </c>
      <c r="L14" s="40">
        <v>274</v>
      </c>
      <c r="M14" s="40">
        <v>272</v>
      </c>
      <c r="N14" s="40">
        <v>174</v>
      </c>
      <c r="O14" s="40">
        <v>167</v>
      </c>
      <c r="Q14" s="40">
        <v>275</v>
      </c>
      <c r="R14" s="40">
        <v>173</v>
      </c>
      <c r="T14" s="40">
        <v>284</v>
      </c>
      <c r="U14" s="40">
        <v>163</v>
      </c>
      <c r="W14" s="40">
        <v>319</v>
      </c>
      <c r="X14" s="40"/>
      <c r="Z14" s="139">
        <v>214</v>
      </c>
      <c r="AA14" s="139">
        <v>175</v>
      </c>
      <c r="AC14" s="40">
        <v>237</v>
      </c>
      <c r="AD14" s="40">
        <v>144</v>
      </c>
      <c r="AF14" s="40">
        <v>454</v>
      </c>
      <c r="AG14" s="42">
        <v>34</v>
      </c>
      <c r="AH14" s="42">
        <v>167</v>
      </c>
      <c r="AI14" s="42">
        <f>2+9</f>
        <v>11</v>
      </c>
    </row>
    <row r="15" spans="1:35" ht="15.75" thickBot="1" x14ac:dyDescent="0.3"/>
    <row r="16" spans="1:35" ht="15.75" thickBot="1" x14ac:dyDescent="0.3">
      <c r="A16" s="50" t="s">
        <v>8</v>
      </c>
      <c r="B16" s="1"/>
      <c r="C16" s="51">
        <f>+SUM(C11:C14)</f>
        <v>1847</v>
      </c>
      <c r="D16" s="51">
        <f>+SUM(D11:D14)</f>
        <v>829</v>
      </c>
      <c r="E16" s="51">
        <f>+SUM(E11:E14)</f>
        <v>11</v>
      </c>
      <c r="F16" s="51">
        <f>+SUM(F11:F14)</f>
        <v>3</v>
      </c>
      <c r="G16" s="51">
        <f>+SUM(G11:G14)</f>
        <v>1</v>
      </c>
      <c r="I16" s="51">
        <f>+SUM(I11:I14)</f>
        <v>1806</v>
      </c>
      <c r="J16" s="51">
        <f>+SUM(J11:J14)</f>
        <v>850</v>
      </c>
      <c r="L16" s="51">
        <f>+SUM(L11:L14)</f>
        <v>1822</v>
      </c>
      <c r="M16" s="51">
        <f>+SUM(M11:M14)</f>
        <v>1799</v>
      </c>
      <c r="N16" s="51">
        <f>+SUM(N11:N14)</f>
        <v>820</v>
      </c>
      <c r="O16" s="51">
        <f>+SUM(O11:O14)</f>
        <v>797</v>
      </c>
      <c r="Q16" s="51">
        <f>+SUM(Q11:Q14)</f>
        <v>1826</v>
      </c>
      <c r="R16" s="51">
        <f>+SUM(R11:R14)</f>
        <v>802</v>
      </c>
      <c r="T16" s="51">
        <f>+SUM(T11:T14)</f>
        <v>1894</v>
      </c>
      <c r="U16" s="51">
        <f>+SUM(U11:U14)</f>
        <v>733</v>
      </c>
      <c r="W16" s="51">
        <f>+SUM(W11:W14)</f>
        <v>2027</v>
      </c>
      <c r="X16" s="51">
        <f>+SUM(X11:X14)</f>
        <v>0</v>
      </c>
      <c r="Z16" s="51">
        <f>+SUM(Z11:Z14)</f>
        <v>1242</v>
      </c>
      <c r="AA16" s="51">
        <f>+SUM(AA11:AA14)</f>
        <v>1069</v>
      </c>
      <c r="AC16" s="51">
        <f>+SUM(AC11:AC14)</f>
        <v>1529</v>
      </c>
      <c r="AD16" s="51">
        <f>+SUM(AD11:AD14)</f>
        <v>755</v>
      </c>
      <c r="AF16" s="51">
        <f>+SUM(AF11:AF14)</f>
        <v>2703</v>
      </c>
      <c r="AG16" s="51">
        <f>+SUM(AG11:AG14)</f>
        <v>132</v>
      </c>
      <c r="AH16" s="51">
        <f>+SUM(AH11:AH14)</f>
        <v>583</v>
      </c>
      <c r="AI16" s="51">
        <f>+SUM(AI11:AI14)</f>
        <v>61</v>
      </c>
    </row>
    <row r="17" spans="1:35" x14ac:dyDescent="0.25">
      <c r="A17" s="92" t="s">
        <v>146</v>
      </c>
      <c r="B17" s="1"/>
      <c r="C17" s="53">
        <f>13+16+21+18</f>
        <v>68</v>
      </c>
      <c r="D17" s="53">
        <f>15+14+18+14</f>
        <v>61</v>
      </c>
      <c r="E17" s="53">
        <v>1</v>
      </c>
      <c r="F17" s="53">
        <v>0</v>
      </c>
      <c r="G17" s="53">
        <v>0</v>
      </c>
      <c r="I17" s="53">
        <f>13+16+21+20</f>
        <v>70</v>
      </c>
      <c r="J17" s="53">
        <f>16+14+18+13</f>
        <v>61</v>
      </c>
      <c r="L17" s="53">
        <f>15+16+21+20</f>
        <v>72</v>
      </c>
      <c r="M17" s="53">
        <f>13+15+21+20</f>
        <v>69</v>
      </c>
      <c r="N17" s="53">
        <f>14+15+17+13</f>
        <v>59</v>
      </c>
      <c r="O17" s="53">
        <f>15+14+19+13</f>
        <v>61</v>
      </c>
      <c r="Q17" s="53">
        <f>13+16+21+20</f>
        <v>70</v>
      </c>
      <c r="R17" s="53">
        <f>15+14+18+12</f>
        <v>59</v>
      </c>
      <c r="T17" s="53">
        <f>15+16+21+22</f>
        <v>74</v>
      </c>
      <c r="U17" s="53">
        <f>14+14+18+11</f>
        <v>57</v>
      </c>
      <c r="W17" s="53">
        <f>19+18+22+26</f>
        <v>85</v>
      </c>
      <c r="X17" s="53"/>
      <c r="Z17" s="53">
        <f>13+14+18+15</f>
        <v>60</v>
      </c>
      <c r="AA17" s="53">
        <f>13+15+18+15</f>
        <v>61</v>
      </c>
      <c r="AC17" s="53">
        <f>21+23+25+18</f>
        <v>87</v>
      </c>
      <c r="AD17" s="53">
        <f>5+7+11+12</f>
        <v>35</v>
      </c>
      <c r="AF17" s="93"/>
      <c r="AG17" s="93"/>
      <c r="AH17" s="93"/>
      <c r="AI17" s="93"/>
    </row>
    <row r="18" spans="1:35" x14ac:dyDescent="0.25">
      <c r="A18" s="92" t="s">
        <v>43</v>
      </c>
      <c r="B18" s="1"/>
      <c r="C18" s="41">
        <v>215</v>
      </c>
      <c r="D18" s="41">
        <v>358</v>
      </c>
      <c r="E18" s="41">
        <v>1</v>
      </c>
      <c r="F18" s="41">
        <v>2</v>
      </c>
      <c r="G18" s="41">
        <v>0</v>
      </c>
      <c r="I18" s="41">
        <v>225</v>
      </c>
      <c r="J18" s="41">
        <v>353</v>
      </c>
      <c r="L18" s="41">
        <v>233</v>
      </c>
      <c r="M18" s="41">
        <v>223</v>
      </c>
      <c r="N18" s="41">
        <v>344</v>
      </c>
      <c r="O18" s="41">
        <v>343</v>
      </c>
      <c r="Q18" s="41">
        <v>216</v>
      </c>
      <c r="R18" s="41">
        <v>355</v>
      </c>
      <c r="T18" s="41">
        <v>229</v>
      </c>
      <c r="U18" s="41">
        <v>340</v>
      </c>
      <c r="W18" s="41">
        <v>271</v>
      </c>
      <c r="X18" s="41"/>
      <c r="Z18" s="41">
        <v>245</v>
      </c>
      <c r="AA18" s="41">
        <v>299</v>
      </c>
      <c r="AC18" s="41">
        <v>339</v>
      </c>
      <c r="AD18" s="41">
        <v>204</v>
      </c>
      <c r="AF18" s="93"/>
      <c r="AG18" s="93"/>
      <c r="AH18" s="93"/>
      <c r="AI18" s="93"/>
    </row>
    <row r="19" spans="1:35" x14ac:dyDescent="0.25">
      <c r="A19" s="94" t="s">
        <v>644</v>
      </c>
      <c r="B19" s="1"/>
      <c r="C19" s="41">
        <v>4</v>
      </c>
      <c r="D19" s="41">
        <v>2</v>
      </c>
      <c r="E19" s="41">
        <v>0</v>
      </c>
      <c r="F19" s="41">
        <v>0</v>
      </c>
      <c r="G19" s="41">
        <v>0</v>
      </c>
      <c r="I19" s="41">
        <v>4</v>
      </c>
      <c r="J19" s="41">
        <v>2</v>
      </c>
      <c r="L19" s="41">
        <v>5</v>
      </c>
      <c r="M19" s="41">
        <v>4</v>
      </c>
      <c r="N19" s="41">
        <v>1</v>
      </c>
      <c r="O19" s="41">
        <v>2</v>
      </c>
      <c r="Q19" s="41">
        <v>4</v>
      </c>
      <c r="R19" s="41">
        <v>2</v>
      </c>
      <c r="T19" s="41">
        <v>4</v>
      </c>
      <c r="U19" s="41">
        <v>2</v>
      </c>
      <c r="W19" s="41">
        <v>5</v>
      </c>
      <c r="X19" s="41"/>
      <c r="Z19" s="41">
        <v>4</v>
      </c>
      <c r="AA19" s="41">
        <v>2</v>
      </c>
      <c r="AC19" s="41">
        <v>6</v>
      </c>
      <c r="AD19" s="41">
        <v>0</v>
      </c>
      <c r="AF19" s="93"/>
      <c r="AG19" s="93"/>
      <c r="AH19" s="93"/>
      <c r="AI19" s="93"/>
    </row>
    <row r="20" spans="1:35" s="191" customFormat="1" x14ac:dyDescent="0.25">
      <c r="A20" s="94" t="s">
        <v>645</v>
      </c>
      <c r="B20" s="192"/>
      <c r="C20" s="41">
        <v>30</v>
      </c>
      <c r="D20" s="41">
        <v>24</v>
      </c>
      <c r="E20" s="41">
        <v>0</v>
      </c>
      <c r="F20" s="41">
        <v>0</v>
      </c>
      <c r="G20" s="41">
        <v>0</v>
      </c>
      <c r="I20" s="41">
        <v>30</v>
      </c>
      <c r="J20" s="41">
        <v>25</v>
      </c>
      <c r="L20" s="41">
        <v>33</v>
      </c>
      <c r="M20" s="41">
        <v>33</v>
      </c>
      <c r="N20" s="41">
        <v>22</v>
      </c>
      <c r="O20" s="41">
        <v>22</v>
      </c>
      <c r="Q20" s="41">
        <v>31</v>
      </c>
      <c r="R20" s="41">
        <v>23</v>
      </c>
      <c r="T20" s="41">
        <v>36</v>
      </c>
      <c r="U20" s="41">
        <v>19</v>
      </c>
      <c r="W20" s="41">
        <v>38</v>
      </c>
      <c r="X20" s="41"/>
      <c r="Z20" s="41">
        <v>24</v>
      </c>
      <c r="AA20" s="41">
        <v>22</v>
      </c>
      <c r="AC20" s="41">
        <v>29</v>
      </c>
      <c r="AD20" s="41">
        <v>16</v>
      </c>
      <c r="AF20" s="93"/>
      <c r="AG20" s="93"/>
      <c r="AH20" s="93"/>
      <c r="AI20" s="93"/>
    </row>
    <row r="21" spans="1:35" s="191" customFormat="1" ht="15.75" thickBot="1" x14ac:dyDescent="0.3">
      <c r="A21" s="94" t="s">
        <v>651</v>
      </c>
      <c r="B21" s="192"/>
      <c r="C21" s="41">
        <f>1</f>
        <v>1</v>
      </c>
      <c r="D21" s="41">
        <f>2</f>
        <v>2</v>
      </c>
      <c r="E21" s="41">
        <v>0</v>
      </c>
      <c r="F21" s="41">
        <v>0</v>
      </c>
      <c r="G21" s="41">
        <v>0</v>
      </c>
      <c r="I21" s="41">
        <f>1</f>
        <v>1</v>
      </c>
      <c r="J21" s="41">
        <f>2</f>
        <v>2</v>
      </c>
      <c r="L21" s="41">
        <f>1</f>
        <v>1</v>
      </c>
      <c r="M21" s="41">
        <f>1</f>
        <v>1</v>
      </c>
      <c r="N21" s="41">
        <f>2</f>
        <v>2</v>
      </c>
      <c r="O21" s="41">
        <f>2</f>
        <v>2</v>
      </c>
      <c r="Q21" s="41">
        <f>1</f>
        <v>1</v>
      </c>
      <c r="R21" s="41">
        <f>2</f>
        <v>2</v>
      </c>
      <c r="T21" s="41">
        <f>1</f>
        <v>1</v>
      </c>
      <c r="U21" s="41">
        <f>2</f>
        <v>2</v>
      </c>
      <c r="W21" s="41">
        <f>2</f>
        <v>2</v>
      </c>
      <c r="X21" s="41"/>
      <c r="Z21" s="41">
        <f>1</f>
        <v>1</v>
      </c>
      <c r="AA21" s="41">
        <f>1</f>
        <v>1</v>
      </c>
      <c r="AC21" s="41">
        <f>1</f>
        <v>1</v>
      </c>
      <c r="AD21" s="41">
        <f>1</f>
        <v>1</v>
      </c>
      <c r="AF21" s="93"/>
      <c r="AG21" s="93"/>
      <c r="AH21" s="93"/>
      <c r="AI21" s="93"/>
    </row>
    <row r="22" spans="1:35" ht="15.75" thickBot="1" x14ac:dyDescent="0.3">
      <c r="A22" s="50" t="s">
        <v>45</v>
      </c>
      <c r="B22" s="1"/>
      <c r="C22" s="51">
        <f>+SUM(C16:C21)</f>
        <v>2165</v>
      </c>
      <c r="D22" s="51">
        <f t="shared" ref="D22:G22" si="0">+SUM(D16:D21)</f>
        <v>1276</v>
      </c>
      <c r="E22" s="51">
        <f t="shared" si="0"/>
        <v>13</v>
      </c>
      <c r="F22" s="51">
        <f t="shared" si="0"/>
        <v>5</v>
      </c>
      <c r="G22" s="51">
        <f t="shared" si="0"/>
        <v>1</v>
      </c>
      <c r="I22" s="51">
        <f t="shared" ref="I22:J22" si="1">+SUM(I16:I21)</f>
        <v>2136</v>
      </c>
      <c r="J22" s="51">
        <f t="shared" si="1"/>
        <v>1293</v>
      </c>
      <c r="L22" s="51">
        <f t="shared" ref="L22:O22" si="2">+SUM(L16:L21)</f>
        <v>2166</v>
      </c>
      <c r="M22" s="51">
        <f t="shared" si="2"/>
        <v>2129</v>
      </c>
      <c r="N22" s="51">
        <f t="shared" si="2"/>
        <v>1248</v>
      </c>
      <c r="O22" s="51">
        <f t="shared" si="2"/>
        <v>1227</v>
      </c>
      <c r="Q22" s="51">
        <f t="shared" ref="Q22:R22" si="3">+SUM(Q16:Q21)</f>
        <v>2148</v>
      </c>
      <c r="R22" s="51">
        <f t="shared" si="3"/>
        <v>1243</v>
      </c>
      <c r="T22" s="51">
        <f t="shared" ref="T22:U22" si="4">+SUM(T16:T21)</f>
        <v>2238</v>
      </c>
      <c r="U22" s="51">
        <f t="shared" si="4"/>
        <v>1153</v>
      </c>
      <c r="W22" s="51">
        <f t="shared" ref="W22:X22" si="5">+SUM(W16:W21)</f>
        <v>2428</v>
      </c>
      <c r="X22" s="51">
        <f t="shared" si="5"/>
        <v>0</v>
      </c>
      <c r="Z22" s="51">
        <f t="shared" ref="Z22:AA22" si="6">+SUM(Z16:Z21)</f>
        <v>1576</v>
      </c>
      <c r="AA22" s="51">
        <f t="shared" si="6"/>
        <v>1454</v>
      </c>
      <c r="AC22" s="51">
        <f t="shared" ref="AC22:AD22" si="7">+SUM(AC16:AC21)</f>
        <v>1991</v>
      </c>
      <c r="AD22" s="51">
        <f t="shared" si="7"/>
        <v>1011</v>
      </c>
      <c r="AF22" s="96"/>
      <c r="AG22" s="96"/>
      <c r="AH22" s="96"/>
      <c r="AI22" s="96"/>
    </row>
  </sheetData>
  <sortState ref="A19:A20">
    <sortCondition ref="A19"/>
  </sortState>
  <mergeCells count="15">
    <mergeCell ref="AF2:AI3"/>
    <mergeCell ref="W3:X3"/>
    <mergeCell ref="Z3:AA3"/>
    <mergeCell ref="AC3:AD3"/>
    <mergeCell ref="Z6:Z8"/>
    <mergeCell ref="AA6:AA8"/>
    <mergeCell ref="AC6:AC8"/>
    <mergeCell ref="AD6:AD8"/>
    <mergeCell ref="T3:U3"/>
    <mergeCell ref="C2:G2"/>
    <mergeCell ref="I2:O2"/>
    <mergeCell ref="C3:G3"/>
    <mergeCell ref="I3:J3"/>
    <mergeCell ref="L3:O3"/>
    <mergeCell ref="Q3:R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0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customWidth="1"/>
    <col min="2" max="2" width="1.7109375" customWidth="1"/>
    <col min="3" max="6" width="14" customWidth="1"/>
    <col min="7" max="7" width="14.7109375" customWidth="1"/>
    <col min="8" max="8" width="1.7109375" customWidth="1"/>
    <col min="9" max="10" width="14" customWidth="1"/>
    <col min="11" max="11" width="1.7109375" customWidth="1"/>
    <col min="12" max="15" width="14" customWidth="1"/>
    <col min="16" max="16" width="1.7109375" customWidth="1"/>
    <col min="17" max="18" width="14" customWidth="1"/>
    <col min="19" max="19" width="1.7109375" customWidth="1"/>
    <col min="20" max="21" width="14" customWidth="1"/>
    <col min="22" max="22" width="1.7109375" customWidth="1"/>
    <col min="23" max="24" width="14" customWidth="1"/>
    <col min="25" max="25" width="1.7109375" customWidth="1"/>
    <col min="26" max="29" width="14" customWidth="1"/>
    <col min="30" max="30" width="1.7109375" customWidth="1"/>
    <col min="31" max="32" width="11.85546875" customWidth="1"/>
    <col min="33" max="33" width="1.7109375" customWidth="1"/>
    <col min="34" max="35" width="11.85546875" customWidth="1"/>
    <col min="36" max="36" width="1.7109375" customWidth="1"/>
    <col min="37" max="38" width="13.42578125" customWidth="1"/>
    <col min="39" max="39" width="9.5703125" customWidth="1"/>
    <col min="40" max="63" width="13.42578125" customWidth="1"/>
  </cols>
  <sheetData>
    <row r="2" spans="1:40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80"/>
      <c r="X2" s="81"/>
      <c r="Z2" s="112"/>
      <c r="AA2" s="125"/>
      <c r="AB2" s="125"/>
      <c r="AC2" s="113"/>
      <c r="AE2" s="80"/>
      <c r="AF2" s="81"/>
      <c r="AG2" s="9"/>
      <c r="AH2" s="80"/>
      <c r="AI2" s="81"/>
      <c r="AK2" s="234" t="s">
        <v>5</v>
      </c>
      <c r="AL2" s="235"/>
      <c r="AM2" s="235"/>
      <c r="AN2" s="236"/>
    </row>
    <row r="3" spans="1:40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125</v>
      </c>
      <c r="X3" s="223"/>
      <c r="Z3" s="222" t="s">
        <v>147</v>
      </c>
      <c r="AA3" s="227"/>
      <c r="AB3" s="227"/>
      <c r="AC3" s="223"/>
      <c r="AE3" s="222" t="s">
        <v>126</v>
      </c>
      <c r="AF3" s="223"/>
      <c r="AG3" s="9"/>
      <c r="AH3" s="222" t="s">
        <v>127</v>
      </c>
      <c r="AI3" s="223"/>
      <c r="AK3" s="219"/>
      <c r="AL3" s="220"/>
      <c r="AM3" s="220"/>
      <c r="AN3" s="221"/>
    </row>
    <row r="4" spans="1:40" ht="5.0999999999999996" customHeight="1" thickBot="1" x14ac:dyDescent="0.3">
      <c r="C4" s="109"/>
      <c r="D4" s="110"/>
      <c r="E4" s="110"/>
      <c r="F4" s="110"/>
      <c r="G4" s="111"/>
      <c r="I4" s="109"/>
      <c r="J4" s="110"/>
      <c r="K4" s="140"/>
      <c r="L4" s="68"/>
      <c r="M4" s="68"/>
      <c r="N4" s="68"/>
      <c r="O4" s="69"/>
      <c r="Q4" s="82"/>
      <c r="R4" s="83"/>
      <c r="T4" s="82"/>
      <c r="U4" s="83"/>
      <c r="W4" s="82"/>
      <c r="X4" s="83"/>
      <c r="Z4" s="109"/>
      <c r="AA4" s="110"/>
      <c r="AB4" s="110"/>
      <c r="AC4" s="111"/>
      <c r="AE4" s="75"/>
      <c r="AF4" s="74"/>
      <c r="AG4" s="9"/>
      <c r="AH4" s="75"/>
      <c r="AI4" s="74"/>
      <c r="AK4" s="204"/>
      <c r="AL4" s="205"/>
      <c r="AM4" s="205"/>
      <c r="AN4" s="206"/>
    </row>
    <row r="5" spans="1:40" x14ac:dyDescent="0.25">
      <c r="C5" s="5"/>
      <c r="D5" s="8"/>
      <c r="E5" s="8"/>
      <c r="F5" s="8"/>
      <c r="G5" s="6"/>
      <c r="I5" s="5"/>
      <c r="J5" s="6"/>
      <c r="L5" s="89"/>
      <c r="M5" s="98"/>
      <c r="N5" s="98"/>
      <c r="O5" s="6"/>
      <c r="Q5" s="5"/>
      <c r="R5" s="6"/>
      <c r="T5" s="5"/>
      <c r="U5" s="6"/>
      <c r="W5" s="10"/>
      <c r="X5" s="12"/>
      <c r="Z5" s="10"/>
      <c r="AA5" s="11"/>
      <c r="AB5" s="11"/>
      <c r="AC5" s="12"/>
      <c r="AE5" s="10"/>
      <c r="AF5" s="12"/>
      <c r="AG5" s="9"/>
      <c r="AH5" s="10"/>
      <c r="AI5" s="12"/>
      <c r="AK5" s="16"/>
      <c r="AL5" s="17"/>
      <c r="AM5" s="17"/>
      <c r="AN5" s="18"/>
    </row>
    <row r="6" spans="1:40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20" t="str">
        <f>+'Lead Sheet'!S6</f>
        <v>Vince</v>
      </c>
      <c r="J6" s="21" t="str">
        <f>+'Lead Sheet'!T6</f>
        <v>Vince</v>
      </c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Q6" s="20" t="str">
        <f>+'Lead Sheet'!AR6</f>
        <v>Joseph J.</v>
      </c>
      <c r="R6" s="21" t="str">
        <f>+'Lead Sheet'!AS6</f>
        <v>Lisa</v>
      </c>
      <c r="T6" s="20" t="str">
        <f>+'Lead Sheet'!AU6</f>
        <v>Frank X.</v>
      </c>
      <c r="U6" s="21" t="str">
        <f>+'Lead Sheet'!AV6</f>
        <v>Celeste</v>
      </c>
      <c r="W6" s="20" t="str">
        <f>+'Lead Sheet'!BD6</f>
        <v>James</v>
      </c>
      <c r="X6" s="21" t="str">
        <f>+'Lead Sheet'!BE6</f>
        <v>Dr. William</v>
      </c>
      <c r="Z6" s="20" t="s">
        <v>251</v>
      </c>
      <c r="AA6" s="7" t="s">
        <v>253</v>
      </c>
      <c r="AB6" s="7" t="s">
        <v>255</v>
      </c>
      <c r="AC6" s="21" t="s">
        <v>257</v>
      </c>
      <c r="AE6" s="229" t="s">
        <v>9</v>
      </c>
      <c r="AF6" s="230" t="s">
        <v>10</v>
      </c>
      <c r="AG6" s="9"/>
      <c r="AH6" s="229" t="s">
        <v>9</v>
      </c>
      <c r="AI6" s="230" t="s">
        <v>10</v>
      </c>
      <c r="AK6" s="22" t="s">
        <v>8</v>
      </c>
      <c r="AL6" s="23" t="s">
        <v>8</v>
      </c>
      <c r="AM6" s="23" t="s">
        <v>8</v>
      </c>
      <c r="AN6" s="24" t="s">
        <v>8</v>
      </c>
    </row>
    <row r="7" spans="1:40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20" t="str">
        <f>+'Lead Sheet'!S7</f>
        <v>POLISTINA</v>
      </c>
      <c r="J7" s="21" t="str">
        <f>+'Lead Sheet'!T7</f>
        <v>MAZZEO</v>
      </c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Q7" s="20" t="str">
        <f>+'Lead Sheet'!AR7</f>
        <v>GIRALO</v>
      </c>
      <c r="R7" s="21" t="str">
        <f>+'Lead Sheet'!AS7</f>
        <v>JIAMPETTI</v>
      </c>
      <c r="T7" s="20" t="str">
        <f>+'Lead Sheet'!AU7</f>
        <v>BALLES</v>
      </c>
      <c r="U7" s="21" t="str">
        <f>+'Lead Sheet'!AV7</f>
        <v>FERNANDEZ</v>
      </c>
      <c r="W7" s="20" t="str">
        <f>+'Lead Sheet'!BD7</f>
        <v>BERTINO</v>
      </c>
      <c r="X7" s="21" t="str">
        <f>+'Lead Sheet'!BE7</f>
        <v>BEYERS</v>
      </c>
      <c r="Z7" s="20" t="s">
        <v>252</v>
      </c>
      <c r="AA7" s="7" t="s">
        <v>254</v>
      </c>
      <c r="AB7" s="7" t="s">
        <v>256</v>
      </c>
      <c r="AC7" s="21" t="s">
        <v>256</v>
      </c>
      <c r="AE7" s="229"/>
      <c r="AF7" s="230"/>
      <c r="AG7" s="9"/>
      <c r="AH7" s="229"/>
      <c r="AI7" s="230"/>
      <c r="AK7" s="22" t="s">
        <v>12</v>
      </c>
      <c r="AL7" s="23" t="s">
        <v>158</v>
      </c>
      <c r="AM7" s="23" t="s">
        <v>13</v>
      </c>
      <c r="AN7" s="24" t="s">
        <v>14</v>
      </c>
    </row>
    <row r="8" spans="1:40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20" t="str">
        <f>+'Lead Sheet'!S8</f>
        <v>Republican</v>
      </c>
      <c r="J8" s="21" t="str">
        <f>+'Lead Sheet'!T8</f>
        <v>Democrat</v>
      </c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Q8" s="20" t="str">
        <f>+'Lead Sheet'!AR8</f>
        <v>Republican</v>
      </c>
      <c r="R8" s="21" t="str">
        <f>+'Lead Sheet'!AS8</f>
        <v>Democrat</v>
      </c>
      <c r="T8" s="20" t="str">
        <f>+'Lead Sheet'!AU8</f>
        <v>Republican</v>
      </c>
      <c r="U8" s="21" t="str">
        <f>+'Lead Sheet'!AV8</f>
        <v>Democrat</v>
      </c>
      <c r="W8" s="20" t="str">
        <f>+'Lead Sheet'!BD8</f>
        <v>Republican</v>
      </c>
      <c r="X8" s="21" t="str">
        <f>+'Lead Sheet'!BE8</f>
        <v>Democrat</v>
      </c>
      <c r="Z8" s="20" t="s">
        <v>16</v>
      </c>
      <c r="AA8" s="7" t="s">
        <v>16</v>
      </c>
      <c r="AB8" s="7" t="s">
        <v>59</v>
      </c>
      <c r="AC8" s="21" t="s">
        <v>59</v>
      </c>
      <c r="AE8" s="229"/>
      <c r="AF8" s="230"/>
      <c r="AG8" s="9"/>
      <c r="AH8" s="229"/>
      <c r="AI8" s="230"/>
      <c r="AK8" s="22" t="s">
        <v>18</v>
      </c>
      <c r="AL8" s="23" t="s">
        <v>145</v>
      </c>
      <c r="AM8" s="23" t="s">
        <v>19</v>
      </c>
      <c r="AN8" s="24" t="s">
        <v>18</v>
      </c>
    </row>
    <row r="9" spans="1:40" x14ac:dyDescent="0.25">
      <c r="C9" s="60"/>
      <c r="D9" s="31"/>
      <c r="E9" s="31"/>
      <c r="F9" s="31"/>
      <c r="G9" s="61" t="str">
        <f>+'Lead Sheet'!G9</f>
        <v>Party</v>
      </c>
      <c r="I9" s="20"/>
      <c r="J9" s="21"/>
      <c r="L9" s="20"/>
      <c r="M9" s="7"/>
      <c r="N9" s="7"/>
      <c r="O9" s="21"/>
      <c r="Q9" s="20"/>
      <c r="R9" s="21"/>
      <c r="T9" s="20"/>
      <c r="U9" s="21"/>
      <c r="W9" s="20"/>
      <c r="X9" s="21"/>
      <c r="Z9" s="20"/>
      <c r="AA9" s="7"/>
      <c r="AB9" s="7"/>
      <c r="AC9" s="21"/>
      <c r="AE9" s="27"/>
      <c r="AF9" s="28"/>
      <c r="AG9" s="9"/>
      <c r="AH9" s="27"/>
      <c r="AI9" s="28"/>
      <c r="AK9" s="119"/>
      <c r="AL9" s="118"/>
      <c r="AM9" s="118"/>
      <c r="AN9" s="120"/>
    </row>
    <row r="10" spans="1:40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136"/>
      <c r="X10" s="137"/>
      <c r="Z10" s="136"/>
      <c r="AA10" s="152"/>
      <c r="AB10" s="152"/>
      <c r="AC10" s="137"/>
      <c r="AE10" s="36"/>
      <c r="AF10" s="38"/>
      <c r="AG10" s="9"/>
      <c r="AH10" s="36"/>
      <c r="AI10" s="38"/>
      <c r="AK10" s="33"/>
      <c r="AL10" s="34"/>
      <c r="AM10" s="34"/>
      <c r="AN10" s="35"/>
    </row>
    <row r="11" spans="1:40" x14ac:dyDescent="0.25">
      <c r="A11" t="s">
        <v>249</v>
      </c>
      <c r="C11" s="59">
        <v>331</v>
      </c>
      <c r="D11" s="59">
        <v>158</v>
      </c>
      <c r="E11" s="59">
        <v>4</v>
      </c>
      <c r="F11" s="59">
        <v>0</v>
      </c>
      <c r="G11" s="59">
        <v>0</v>
      </c>
      <c r="I11" s="59">
        <v>311</v>
      </c>
      <c r="J11" s="59">
        <v>163</v>
      </c>
      <c r="L11" s="59">
        <v>295</v>
      </c>
      <c r="M11" s="59">
        <v>302</v>
      </c>
      <c r="N11" s="59">
        <v>183</v>
      </c>
      <c r="O11" s="59">
        <v>158</v>
      </c>
      <c r="Q11" s="59">
        <v>310</v>
      </c>
      <c r="R11" s="59">
        <v>159</v>
      </c>
      <c r="T11" s="59">
        <v>322</v>
      </c>
      <c r="U11" s="59">
        <v>146</v>
      </c>
      <c r="W11" s="59">
        <v>308</v>
      </c>
      <c r="X11" s="59">
        <v>152</v>
      </c>
      <c r="Z11" s="59">
        <v>241</v>
      </c>
      <c r="AA11" s="59">
        <v>234</v>
      </c>
      <c r="AB11" s="59">
        <v>239</v>
      </c>
      <c r="AC11" s="59">
        <v>235</v>
      </c>
      <c r="AE11" s="59">
        <v>168</v>
      </c>
      <c r="AF11" s="59">
        <v>187</v>
      </c>
      <c r="AH11" s="59">
        <v>193</v>
      </c>
      <c r="AI11" s="59">
        <v>132</v>
      </c>
      <c r="AK11" s="40">
        <v>498</v>
      </c>
      <c r="AL11" s="237">
        <v>51</v>
      </c>
      <c r="AM11" s="237">
        <v>199</v>
      </c>
      <c r="AN11" s="237">
        <f>2+14</f>
        <v>16</v>
      </c>
    </row>
    <row r="12" spans="1:40" x14ac:dyDescent="0.25">
      <c r="A12" t="s">
        <v>250</v>
      </c>
      <c r="C12" s="40">
        <v>367</v>
      </c>
      <c r="D12" s="40">
        <v>174</v>
      </c>
      <c r="E12" s="40">
        <v>1</v>
      </c>
      <c r="F12" s="40">
        <v>2</v>
      </c>
      <c r="G12" s="40">
        <v>1</v>
      </c>
      <c r="I12" s="40">
        <v>348</v>
      </c>
      <c r="J12" s="40">
        <v>176</v>
      </c>
      <c r="L12" s="40">
        <v>324</v>
      </c>
      <c r="M12" s="40">
        <v>329</v>
      </c>
      <c r="N12" s="40">
        <v>194</v>
      </c>
      <c r="O12" s="40">
        <v>177</v>
      </c>
      <c r="Q12" s="40">
        <v>361</v>
      </c>
      <c r="R12" s="40">
        <v>158</v>
      </c>
      <c r="T12" s="40">
        <v>366</v>
      </c>
      <c r="U12" s="40">
        <v>153</v>
      </c>
      <c r="W12" s="40">
        <v>365</v>
      </c>
      <c r="X12" s="40">
        <v>143</v>
      </c>
      <c r="Z12" s="40">
        <v>231</v>
      </c>
      <c r="AA12" s="40">
        <v>196</v>
      </c>
      <c r="AB12" s="40">
        <v>309</v>
      </c>
      <c r="AC12" s="40">
        <v>319</v>
      </c>
      <c r="AE12" s="40">
        <v>193</v>
      </c>
      <c r="AF12" s="40">
        <v>214</v>
      </c>
      <c r="AH12" s="40">
        <v>238</v>
      </c>
      <c r="AI12" s="40">
        <v>134</v>
      </c>
      <c r="AK12" s="40">
        <v>554</v>
      </c>
      <c r="AL12" s="233"/>
      <c r="AM12" s="233"/>
      <c r="AN12" s="233"/>
    </row>
    <row r="13" spans="1:40" ht="15.75" thickBot="1" x14ac:dyDescent="0.3"/>
    <row r="14" spans="1:40" ht="15.75" thickBot="1" x14ac:dyDescent="0.3">
      <c r="A14" s="50" t="s">
        <v>8</v>
      </c>
      <c r="B14" s="1"/>
      <c r="C14" s="51">
        <f t="shared" ref="C14:E14" si="0">+SUM(C11:C12)</f>
        <v>698</v>
      </c>
      <c r="D14" s="51">
        <f t="shared" si="0"/>
        <v>332</v>
      </c>
      <c r="E14" s="51">
        <f t="shared" si="0"/>
        <v>5</v>
      </c>
      <c r="F14" s="51">
        <f>+SUM(F11:F12)</f>
        <v>2</v>
      </c>
      <c r="G14" s="51">
        <f t="shared" ref="G14:AC14" si="1">+SUM(G11:G12)</f>
        <v>1</v>
      </c>
      <c r="I14" s="51">
        <f t="shared" si="1"/>
        <v>659</v>
      </c>
      <c r="J14" s="51">
        <f t="shared" si="1"/>
        <v>339</v>
      </c>
      <c r="L14" s="51">
        <f t="shared" si="1"/>
        <v>619</v>
      </c>
      <c r="M14" s="51">
        <f t="shared" si="1"/>
        <v>631</v>
      </c>
      <c r="N14" s="51">
        <f t="shared" si="1"/>
        <v>377</v>
      </c>
      <c r="O14" s="51">
        <f t="shared" si="1"/>
        <v>335</v>
      </c>
      <c r="Q14" s="51">
        <f t="shared" si="1"/>
        <v>671</v>
      </c>
      <c r="R14" s="51">
        <f t="shared" si="1"/>
        <v>317</v>
      </c>
      <c r="T14" s="51">
        <f t="shared" si="1"/>
        <v>688</v>
      </c>
      <c r="U14" s="51">
        <f t="shared" si="1"/>
        <v>299</v>
      </c>
      <c r="W14" s="51">
        <f t="shared" si="1"/>
        <v>673</v>
      </c>
      <c r="X14" s="51">
        <f t="shared" ref="X14" si="2">+SUM(X11:X12)</f>
        <v>295</v>
      </c>
      <c r="Z14" s="51">
        <f t="shared" ref="Z14:AA14" si="3">+SUM(Z11:Z12)</f>
        <v>472</v>
      </c>
      <c r="AA14" s="51">
        <f t="shared" si="3"/>
        <v>430</v>
      </c>
      <c r="AB14" s="51">
        <f t="shared" si="1"/>
        <v>548</v>
      </c>
      <c r="AC14" s="51">
        <f t="shared" si="1"/>
        <v>554</v>
      </c>
      <c r="AE14" s="51">
        <f t="shared" ref="AE14:AF14" si="4">+SUM(AE11:AE12)</f>
        <v>361</v>
      </c>
      <c r="AF14" s="51">
        <f t="shared" si="4"/>
        <v>401</v>
      </c>
      <c r="AH14" s="51">
        <f t="shared" ref="AH14:AI14" si="5">+SUM(AH11:AH12)</f>
        <v>431</v>
      </c>
      <c r="AI14" s="51">
        <f t="shared" si="5"/>
        <v>266</v>
      </c>
      <c r="AK14" s="51">
        <f>+SUM(AK11:AK12)</f>
        <v>1052</v>
      </c>
      <c r="AL14" s="51">
        <f>+SUM(AL11:AL12)</f>
        <v>51</v>
      </c>
      <c r="AM14" s="51">
        <f>+SUM(AM11:AM12)</f>
        <v>199</v>
      </c>
      <c r="AN14" s="51">
        <f>+SUM(AN11:AN12)</f>
        <v>16</v>
      </c>
    </row>
    <row r="15" spans="1:40" x14ac:dyDescent="0.25">
      <c r="A15" s="92" t="s">
        <v>146</v>
      </c>
      <c r="B15" s="1"/>
      <c r="C15" s="53">
        <v>26</v>
      </c>
      <c r="D15" s="53">
        <v>24</v>
      </c>
      <c r="E15" s="53">
        <v>0</v>
      </c>
      <c r="F15" s="53">
        <v>0</v>
      </c>
      <c r="G15" s="53">
        <v>0</v>
      </c>
      <c r="H15" s="138"/>
      <c r="I15" s="53">
        <v>20</v>
      </c>
      <c r="J15" s="53">
        <v>29</v>
      </c>
      <c r="K15" s="138"/>
      <c r="L15" s="53">
        <v>18</v>
      </c>
      <c r="M15" s="53">
        <v>21</v>
      </c>
      <c r="N15" s="53">
        <v>31</v>
      </c>
      <c r="O15" s="53">
        <v>23</v>
      </c>
      <c r="P15" s="138"/>
      <c r="Q15" s="53">
        <v>27</v>
      </c>
      <c r="R15" s="53">
        <v>21</v>
      </c>
      <c r="S15" s="138"/>
      <c r="T15" s="53">
        <v>22</v>
      </c>
      <c r="U15" s="53">
        <v>23</v>
      </c>
      <c r="V15" s="138"/>
      <c r="W15" s="53">
        <v>26</v>
      </c>
      <c r="X15" s="53">
        <v>21</v>
      </c>
      <c r="Y15" s="138"/>
      <c r="Z15" s="53">
        <v>16</v>
      </c>
      <c r="AA15" s="53">
        <v>15</v>
      </c>
      <c r="AB15" s="53">
        <v>34</v>
      </c>
      <c r="AC15" s="53">
        <v>35</v>
      </c>
      <c r="AD15" s="138"/>
      <c r="AE15" s="53">
        <v>20</v>
      </c>
      <c r="AF15" s="53">
        <v>26</v>
      </c>
      <c r="AG15" s="138" t="s">
        <v>258</v>
      </c>
      <c r="AH15" s="53">
        <v>35</v>
      </c>
      <c r="AI15" s="53">
        <v>10</v>
      </c>
      <c r="AJ15" s="138"/>
      <c r="AK15" s="46"/>
      <c r="AL15" s="46"/>
      <c r="AM15" s="46"/>
      <c r="AN15" s="46"/>
    </row>
    <row r="16" spans="1:40" x14ac:dyDescent="0.25">
      <c r="A16" s="92" t="s">
        <v>43</v>
      </c>
      <c r="B16" s="1"/>
      <c r="C16" s="41">
        <v>75</v>
      </c>
      <c r="D16" s="41">
        <v>118</v>
      </c>
      <c r="E16" s="41">
        <v>1</v>
      </c>
      <c r="F16" s="41">
        <v>0</v>
      </c>
      <c r="G16" s="41">
        <v>1</v>
      </c>
      <c r="H16" s="138"/>
      <c r="I16" s="41">
        <v>64</v>
      </c>
      <c r="J16" s="41">
        <v>129</v>
      </c>
      <c r="K16" s="138"/>
      <c r="L16" s="41">
        <v>65</v>
      </c>
      <c r="M16" s="41">
        <v>62</v>
      </c>
      <c r="N16" s="41">
        <v>126</v>
      </c>
      <c r="O16" s="41">
        <v>119</v>
      </c>
      <c r="P16" s="138"/>
      <c r="Q16" s="41">
        <v>77</v>
      </c>
      <c r="R16" s="41">
        <v>115</v>
      </c>
      <c r="S16" s="138"/>
      <c r="T16" s="41">
        <v>77</v>
      </c>
      <c r="U16" s="41">
        <v>113</v>
      </c>
      <c r="V16" s="138"/>
      <c r="W16" s="41">
        <v>75</v>
      </c>
      <c r="X16" s="41">
        <v>114</v>
      </c>
      <c r="Y16" s="138"/>
      <c r="Z16" s="41">
        <v>38</v>
      </c>
      <c r="AA16" s="41">
        <v>34</v>
      </c>
      <c r="AB16" s="41">
        <v>155</v>
      </c>
      <c r="AC16" s="41">
        <v>155</v>
      </c>
      <c r="AD16" s="138"/>
      <c r="AE16" s="41">
        <v>53</v>
      </c>
      <c r="AF16" s="41">
        <v>99</v>
      </c>
      <c r="AG16" s="138"/>
      <c r="AH16" s="41">
        <v>93</v>
      </c>
      <c r="AI16" s="41">
        <v>53</v>
      </c>
      <c r="AJ16" s="138"/>
      <c r="AK16" s="46"/>
      <c r="AL16" s="46"/>
      <c r="AM16" s="46"/>
      <c r="AN16" s="46"/>
    </row>
    <row r="17" spans="1:40" x14ac:dyDescent="0.25">
      <c r="A17" s="94" t="s">
        <v>644</v>
      </c>
      <c r="B17" s="192"/>
      <c r="C17" s="41">
        <v>1</v>
      </c>
      <c r="D17" s="41">
        <v>1</v>
      </c>
      <c r="E17" s="41">
        <v>0</v>
      </c>
      <c r="F17" s="41">
        <v>0</v>
      </c>
      <c r="G17" s="41">
        <v>0</v>
      </c>
      <c r="H17" s="138"/>
      <c r="I17" s="41">
        <v>1</v>
      </c>
      <c r="J17" s="41">
        <v>1</v>
      </c>
      <c r="K17" s="138"/>
      <c r="L17" s="41">
        <v>1</v>
      </c>
      <c r="M17" s="41">
        <v>1</v>
      </c>
      <c r="N17" s="41">
        <v>0</v>
      </c>
      <c r="O17" s="41">
        <v>1</v>
      </c>
      <c r="P17" s="138"/>
      <c r="Q17" s="41">
        <v>2</v>
      </c>
      <c r="R17" s="41">
        <v>0</v>
      </c>
      <c r="S17" s="138"/>
      <c r="T17" s="41">
        <v>1</v>
      </c>
      <c r="U17" s="41">
        <v>1</v>
      </c>
      <c r="V17" s="138"/>
      <c r="W17" s="41">
        <v>1</v>
      </c>
      <c r="X17" s="41">
        <v>1</v>
      </c>
      <c r="Y17" s="138"/>
      <c r="Z17" s="41">
        <v>1</v>
      </c>
      <c r="AA17" s="41">
        <v>1</v>
      </c>
      <c r="AB17" s="41">
        <v>1</v>
      </c>
      <c r="AC17" s="41">
        <v>1</v>
      </c>
      <c r="AD17" s="138"/>
      <c r="AE17" s="41">
        <v>0</v>
      </c>
      <c r="AF17" s="41">
        <v>1</v>
      </c>
      <c r="AG17" s="138"/>
      <c r="AH17" s="41">
        <v>0</v>
      </c>
      <c r="AI17" s="41">
        <v>1</v>
      </c>
      <c r="AJ17" s="138"/>
      <c r="AK17" s="46"/>
      <c r="AL17" s="46"/>
      <c r="AM17" s="46"/>
      <c r="AN17" s="46"/>
    </row>
    <row r="18" spans="1:40" s="191" customFormat="1" x14ac:dyDescent="0.25">
      <c r="A18" s="94" t="s">
        <v>645</v>
      </c>
      <c r="B18" s="192"/>
      <c r="C18" s="95">
        <v>5</v>
      </c>
      <c r="D18" s="95">
        <v>9</v>
      </c>
      <c r="E18" s="95">
        <v>0</v>
      </c>
      <c r="F18" s="95">
        <v>0</v>
      </c>
      <c r="G18" s="95">
        <v>0</v>
      </c>
      <c r="H18" s="138" t="s">
        <v>258</v>
      </c>
      <c r="I18" s="95">
        <v>3</v>
      </c>
      <c r="J18" s="95">
        <v>11</v>
      </c>
      <c r="K18" s="138"/>
      <c r="L18" s="95">
        <v>2</v>
      </c>
      <c r="M18" s="95">
        <v>3</v>
      </c>
      <c r="N18" s="95">
        <v>12</v>
      </c>
      <c r="O18" s="95">
        <v>10</v>
      </c>
      <c r="P18" s="138"/>
      <c r="Q18" s="95">
        <v>5</v>
      </c>
      <c r="R18" s="95">
        <v>9</v>
      </c>
      <c r="S18" s="138"/>
      <c r="T18" s="95">
        <v>5</v>
      </c>
      <c r="U18" s="95">
        <v>9</v>
      </c>
      <c r="V18" s="138"/>
      <c r="W18" s="95">
        <v>5</v>
      </c>
      <c r="X18" s="95">
        <v>9</v>
      </c>
      <c r="Y18" s="138"/>
      <c r="Z18" s="95">
        <v>3</v>
      </c>
      <c r="AA18" s="95">
        <v>3</v>
      </c>
      <c r="AB18" s="95">
        <v>11</v>
      </c>
      <c r="AC18" s="95">
        <v>11</v>
      </c>
      <c r="AD18" s="138"/>
      <c r="AE18" s="95">
        <v>6</v>
      </c>
      <c r="AF18" s="95">
        <v>7</v>
      </c>
      <c r="AG18" s="138"/>
      <c r="AH18" s="95">
        <v>7</v>
      </c>
      <c r="AI18" s="95">
        <v>6</v>
      </c>
      <c r="AJ18" s="138"/>
      <c r="AK18" s="46"/>
      <c r="AL18" s="46"/>
      <c r="AM18" s="46"/>
      <c r="AN18" s="46"/>
    </row>
    <row r="19" spans="1:40" s="191" customFormat="1" ht="15.75" thickBot="1" x14ac:dyDescent="0.3">
      <c r="A19" s="94" t="s">
        <v>651</v>
      </c>
      <c r="B19" s="192"/>
      <c r="C19" s="214">
        <f>2</f>
        <v>2</v>
      </c>
      <c r="D19" s="214">
        <f>1+1</f>
        <v>2</v>
      </c>
      <c r="E19" s="214">
        <v>0</v>
      </c>
      <c r="F19" s="214">
        <v>0</v>
      </c>
      <c r="G19" s="214">
        <v>0</v>
      </c>
      <c r="H19" s="138"/>
      <c r="I19" s="214">
        <f>1+1</f>
        <v>2</v>
      </c>
      <c r="J19" s="214">
        <f>2</f>
        <v>2</v>
      </c>
      <c r="K19" s="138"/>
      <c r="L19" s="214">
        <f>1</f>
        <v>1</v>
      </c>
      <c r="M19" s="214">
        <f>1</f>
        <v>1</v>
      </c>
      <c r="N19" s="214">
        <f>2+1</f>
        <v>3</v>
      </c>
      <c r="O19" s="214">
        <f>2+1</f>
        <v>3</v>
      </c>
      <c r="P19" s="138"/>
      <c r="Q19" s="214">
        <v>1</v>
      </c>
      <c r="R19" s="214">
        <f>2+1</f>
        <v>3</v>
      </c>
      <c r="S19" s="138"/>
      <c r="T19" s="214">
        <v>1</v>
      </c>
      <c r="U19" s="214">
        <f>2+1</f>
        <v>3</v>
      </c>
      <c r="V19" s="138"/>
      <c r="W19" s="214">
        <v>1</v>
      </c>
      <c r="X19" s="214">
        <f>2+1</f>
        <v>3</v>
      </c>
      <c r="Y19" s="138"/>
      <c r="Z19" s="214">
        <f>1</f>
        <v>1</v>
      </c>
      <c r="AA19" s="214">
        <f>1</f>
        <v>1</v>
      </c>
      <c r="AB19" s="214">
        <f>2+1</f>
        <v>3</v>
      </c>
      <c r="AC19" s="214">
        <f>2+1</f>
        <v>3</v>
      </c>
      <c r="AD19" s="138"/>
      <c r="AE19" s="214">
        <f>1</f>
        <v>1</v>
      </c>
      <c r="AF19" s="214">
        <f>1+1</f>
        <v>2</v>
      </c>
      <c r="AG19" s="138"/>
      <c r="AH19" s="214">
        <f>2+1</f>
        <v>3</v>
      </c>
      <c r="AI19" s="214">
        <v>0</v>
      </c>
      <c r="AJ19" s="138"/>
      <c r="AK19" s="46"/>
      <c r="AL19" s="46"/>
      <c r="AM19" s="46"/>
      <c r="AN19" s="46"/>
    </row>
    <row r="20" spans="1:40" ht="15.75" thickBot="1" x14ac:dyDescent="0.3">
      <c r="A20" s="50" t="s">
        <v>45</v>
      </c>
      <c r="B20" s="1"/>
      <c r="C20" s="51">
        <f>+SUM(C14:C19)</f>
        <v>807</v>
      </c>
      <c r="D20" s="51">
        <f t="shared" ref="D20:G20" si="6">+SUM(D14:D19)</f>
        <v>486</v>
      </c>
      <c r="E20" s="51">
        <f t="shared" si="6"/>
        <v>6</v>
      </c>
      <c r="F20" s="51">
        <f t="shared" si="6"/>
        <v>2</v>
      </c>
      <c r="G20" s="51">
        <f t="shared" si="6"/>
        <v>2</v>
      </c>
      <c r="I20" s="51">
        <f t="shared" ref="I20:J20" si="7">+SUM(I14:I19)</f>
        <v>749</v>
      </c>
      <c r="J20" s="51">
        <f t="shared" si="7"/>
        <v>511</v>
      </c>
      <c r="L20" s="51">
        <f t="shared" ref="L20:O20" si="8">+SUM(L14:L19)</f>
        <v>706</v>
      </c>
      <c r="M20" s="51">
        <f t="shared" si="8"/>
        <v>719</v>
      </c>
      <c r="N20" s="51">
        <f t="shared" si="8"/>
        <v>549</v>
      </c>
      <c r="O20" s="51">
        <f t="shared" si="8"/>
        <v>491</v>
      </c>
      <c r="Q20" s="51">
        <f t="shared" ref="Q20:R20" si="9">+SUM(Q14:Q19)</f>
        <v>783</v>
      </c>
      <c r="R20" s="51">
        <f t="shared" si="9"/>
        <v>465</v>
      </c>
      <c r="T20" s="51">
        <f t="shared" ref="T20:U20" si="10">+SUM(T14:T19)</f>
        <v>794</v>
      </c>
      <c r="U20" s="51">
        <f t="shared" si="10"/>
        <v>448</v>
      </c>
      <c r="W20" s="51">
        <f t="shared" ref="W20:X20" si="11">+SUM(W14:W19)</f>
        <v>781</v>
      </c>
      <c r="X20" s="51">
        <f t="shared" si="11"/>
        <v>443</v>
      </c>
      <c r="Z20" s="51">
        <f t="shared" ref="Z20:AC20" si="12">+SUM(Z14:Z19)</f>
        <v>531</v>
      </c>
      <c r="AA20" s="51">
        <f t="shared" si="12"/>
        <v>484</v>
      </c>
      <c r="AB20" s="51">
        <f t="shared" si="12"/>
        <v>752</v>
      </c>
      <c r="AC20" s="51">
        <f t="shared" si="12"/>
        <v>759</v>
      </c>
      <c r="AE20" s="51">
        <f t="shared" ref="AE20:AF20" si="13">+SUM(AE14:AE19)</f>
        <v>441</v>
      </c>
      <c r="AF20" s="51">
        <f t="shared" si="13"/>
        <v>536</v>
      </c>
      <c r="AH20" s="51">
        <f t="shared" ref="AH20:AI20" si="14">+SUM(AH14:AH19)</f>
        <v>569</v>
      </c>
      <c r="AI20" s="51">
        <f t="shared" si="14"/>
        <v>336</v>
      </c>
      <c r="AK20" s="96"/>
      <c r="AL20" s="96"/>
      <c r="AM20" s="96"/>
      <c r="AN20" s="96"/>
    </row>
  </sheetData>
  <mergeCells count="19">
    <mergeCell ref="C2:G2"/>
    <mergeCell ref="I2:O2"/>
    <mergeCell ref="C3:G3"/>
    <mergeCell ref="I3:J3"/>
    <mergeCell ref="L3:O3"/>
    <mergeCell ref="AM11:AM12"/>
    <mergeCell ref="AL11:AL12"/>
    <mergeCell ref="AK2:AN3"/>
    <mergeCell ref="Q3:R3"/>
    <mergeCell ref="T3:U3"/>
    <mergeCell ref="W3:X3"/>
    <mergeCell ref="Z3:AC3"/>
    <mergeCell ref="AE3:AF3"/>
    <mergeCell ref="AH3:AI3"/>
    <mergeCell ref="AE6:AE8"/>
    <mergeCell ref="AF6:AF8"/>
    <mergeCell ref="AH6:AH8"/>
    <mergeCell ref="AI6:AI8"/>
    <mergeCell ref="AN11:AN12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2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31.85546875" bestFit="1" customWidth="1"/>
    <col min="2" max="2" width="1.7109375" customWidth="1"/>
    <col min="3" max="5" width="12.7109375" customWidth="1"/>
    <col min="6" max="6" width="14.7109375" customWidth="1"/>
    <col min="7" max="7" width="15" customWidth="1"/>
    <col min="8" max="8" width="1.7109375" customWidth="1"/>
    <col min="9" max="10" width="12.7109375" customWidth="1"/>
    <col min="11" max="11" width="1.7109375" customWidth="1"/>
    <col min="12" max="15" width="12.7109375" customWidth="1"/>
    <col min="16" max="16" width="1.7109375" customWidth="1"/>
    <col min="17" max="18" width="12.7109375" customWidth="1"/>
    <col min="19" max="19" width="1.7109375" customWidth="1"/>
    <col min="20" max="21" width="14" customWidth="1"/>
    <col min="22" max="22" width="1.7109375" customWidth="1"/>
    <col min="23" max="24" width="14" customWidth="1"/>
    <col min="25" max="25" width="1.7109375" customWidth="1"/>
    <col min="26" max="29" width="14" customWidth="1"/>
    <col min="30" max="30" width="1.7109375" customWidth="1"/>
    <col min="31" max="33" width="14" customWidth="1"/>
    <col min="34" max="34" width="1.7109375" customWidth="1"/>
    <col min="35" max="36" width="11.85546875" customWidth="1"/>
    <col min="37" max="37" width="1.7109375" customWidth="1"/>
    <col min="38" max="39" width="11.85546875" customWidth="1"/>
    <col min="40" max="40" width="1.7109375" customWidth="1"/>
    <col min="41" max="41" width="13.42578125" customWidth="1"/>
    <col min="42" max="43" width="9.5703125" customWidth="1"/>
    <col min="44" max="64" width="13.42578125" customWidth="1"/>
  </cols>
  <sheetData>
    <row r="2" spans="1:44" x14ac:dyDescent="0.25">
      <c r="C2" s="224"/>
      <c r="D2" s="225"/>
      <c r="E2" s="225"/>
      <c r="F2" s="225"/>
      <c r="G2" s="226"/>
      <c r="I2" s="224" t="s">
        <v>2</v>
      </c>
      <c r="J2" s="225"/>
      <c r="K2" s="225"/>
      <c r="L2" s="225"/>
      <c r="M2" s="225"/>
      <c r="N2" s="225"/>
      <c r="O2" s="226"/>
      <c r="Q2" s="80"/>
      <c r="R2" s="81"/>
      <c r="T2" s="80"/>
      <c r="U2" s="81"/>
      <c r="W2" s="80"/>
      <c r="X2" s="81"/>
      <c r="Z2" s="145"/>
      <c r="AA2" s="149"/>
      <c r="AB2" s="149"/>
      <c r="AC2" s="146"/>
      <c r="AE2" s="224" t="s">
        <v>260</v>
      </c>
      <c r="AF2" s="225"/>
      <c r="AG2" s="226"/>
      <c r="AI2" s="80"/>
      <c r="AJ2" s="81"/>
      <c r="AK2" s="9"/>
      <c r="AL2" s="80"/>
      <c r="AM2" s="81"/>
      <c r="AO2" s="234" t="s">
        <v>5</v>
      </c>
      <c r="AP2" s="235"/>
      <c r="AQ2" s="235"/>
      <c r="AR2" s="236"/>
    </row>
    <row r="3" spans="1:44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140"/>
      <c r="L3" s="227" t="s">
        <v>0</v>
      </c>
      <c r="M3" s="227"/>
      <c r="N3" s="227"/>
      <c r="O3" s="223"/>
      <c r="Q3" s="222" t="s">
        <v>121</v>
      </c>
      <c r="R3" s="223"/>
      <c r="T3" s="222" t="s">
        <v>122</v>
      </c>
      <c r="U3" s="223"/>
      <c r="W3" s="222" t="s">
        <v>125</v>
      </c>
      <c r="X3" s="223"/>
      <c r="Z3" s="222" t="s">
        <v>261</v>
      </c>
      <c r="AA3" s="227"/>
      <c r="AB3" s="227"/>
      <c r="AC3" s="223"/>
      <c r="AE3" s="222" t="s">
        <v>278</v>
      </c>
      <c r="AF3" s="227"/>
      <c r="AG3" s="223"/>
      <c r="AI3" s="222" t="s">
        <v>126</v>
      </c>
      <c r="AJ3" s="223"/>
      <c r="AK3" s="9"/>
      <c r="AL3" s="222" t="s">
        <v>127</v>
      </c>
      <c r="AM3" s="223"/>
      <c r="AO3" s="219"/>
      <c r="AP3" s="220"/>
      <c r="AQ3" s="220"/>
      <c r="AR3" s="221"/>
    </row>
    <row r="4" spans="1:44" ht="5.0999999999999996" customHeight="1" thickBot="1" x14ac:dyDescent="0.3">
      <c r="C4" s="109"/>
      <c r="D4" s="110"/>
      <c r="E4" s="110"/>
      <c r="F4" s="110"/>
      <c r="G4" s="111"/>
      <c r="I4" s="109"/>
      <c r="J4" s="110"/>
      <c r="K4" s="140"/>
      <c r="L4" s="68"/>
      <c r="M4" s="68"/>
      <c r="N4" s="68"/>
      <c r="O4" s="69"/>
      <c r="Q4" s="82"/>
      <c r="R4" s="83"/>
      <c r="T4" s="82"/>
      <c r="U4" s="83"/>
      <c r="W4" s="82"/>
      <c r="X4" s="83"/>
      <c r="Z4" s="155"/>
      <c r="AA4" s="67"/>
      <c r="AB4" s="67"/>
      <c r="AC4" s="156"/>
      <c r="AE4" s="155"/>
      <c r="AF4" s="67"/>
      <c r="AG4" s="156"/>
      <c r="AI4" s="75"/>
      <c r="AJ4" s="74"/>
      <c r="AK4" s="9"/>
      <c r="AL4" s="75"/>
      <c r="AM4" s="74"/>
      <c r="AO4" s="204"/>
      <c r="AP4" s="205"/>
      <c r="AQ4" s="205"/>
      <c r="AR4" s="206"/>
    </row>
    <row r="5" spans="1:44" x14ac:dyDescent="0.25">
      <c r="C5" s="5"/>
      <c r="D5" s="8"/>
      <c r="E5" s="8"/>
      <c r="F5" s="8"/>
      <c r="G5" s="6"/>
      <c r="I5" s="5"/>
      <c r="J5" s="6"/>
      <c r="L5" s="89"/>
      <c r="M5" s="98"/>
      <c r="N5" s="98"/>
      <c r="O5" s="6"/>
      <c r="Q5" s="5"/>
      <c r="R5" s="6"/>
      <c r="T5" s="5"/>
      <c r="U5" s="6"/>
      <c r="W5" s="10"/>
      <c r="X5" s="12"/>
      <c r="Z5" s="5"/>
      <c r="AA5" s="8"/>
      <c r="AB5" s="8"/>
      <c r="AC5" s="6"/>
      <c r="AE5" s="5"/>
      <c r="AF5" s="8"/>
      <c r="AG5" s="6"/>
      <c r="AI5" s="10"/>
      <c r="AJ5" s="12"/>
      <c r="AK5" s="9"/>
      <c r="AL5" s="10"/>
      <c r="AM5" s="12"/>
      <c r="AO5" s="16"/>
      <c r="AP5" s="17"/>
      <c r="AQ5" s="17"/>
      <c r="AR5" s="18"/>
    </row>
    <row r="6" spans="1:44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20" t="str">
        <f>+'Lead Sheet'!S6</f>
        <v>Vince</v>
      </c>
      <c r="J6" s="21" t="str">
        <f>+'Lead Sheet'!T6</f>
        <v>Vince</v>
      </c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Q6" s="20" t="str">
        <f>+'Lead Sheet'!AR6</f>
        <v>Joseph J.</v>
      </c>
      <c r="R6" s="21" t="str">
        <f>+'Lead Sheet'!AS6</f>
        <v>Lisa</v>
      </c>
      <c r="T6" s="20" t="str">
        <f>+'Lead Sheet'!AU6</f>
        <v>Frank X.</v>
      </c>
      <c r="U6" s="21" t="str">
        <f>+'Lead Sheet'!AV6</f>
        <v>Celeste</v>
      </c>
      <c r="W6" s="20" t="str">
        <f>+'Lead Sheet'!BD6</f>
        <v>James</v>
      </c>
      <c r="X6" s="21" t="str">
        <f>+'Lead Sheet'!BE6</f>
        <v>Dr. William</v>
      </c>
      <c r="Z6" s="20" t="s">
        <v>267</v>
      </c>
      <c r="AA6" s="7" t="s">
        <v>269</v>
      </c>
      <c r="AB6" s="7" t="s">
        <v>262</v>
      </c>
      <c r="AC6" s="21" t="s">
        <v>271</v>
      </c>
      <c r="AE6" s="20" t="s">
        <v>273</v>
      </c>
      <c r="AF6" s="7" t="s">
        <v>248</v>
      </c>
      <c r="AG6" s="21" t="s">
        <v>276</v>
      </c>
      <c r="AI6" s="229" t="s">
        <v>9</v>
      </c>
      <c r="AJ6" s="230" t="s">
        <v>10</v>
      </c>
      <c r="AK6" s="9"/>
      <c r="AL6" s="229" t="s">
        <v>9</v>
      </c>
      <c r="AM6" s="230" t="s">
        <v>10</v>
      </c>
      <c r="AO6" s="22" t="s">
        <v>8</v>
      </c>
      <c r="AP6" s="23" t="s">
        <v>8</v>
      </c>
      <c r="AQ6" s="23" t="s">
        <v>8</v>
      </c>
      <c r="AR6" s="24" t="s">
        <v>8</v>
      </c>
    </row>
    <row r="7" spans="1:44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20" t="str">
        <f>+'Lead Sheet'!S7</f>
        <v>POLISTINA</v>
      </c>
      <c r="J7" s="21" t="str">
        <f>+'Lead Sheet'!T7</f>
        <v>MAZZEO</v>
      </c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Q7" s="20" t="str">
        <f>+'Lead Sheet'!AR7</f>
        <v>GIRALO</v>
      </c>
      <c r="R7" s="21" t="str">
        <f>+'Lead Sheet'!AS7</f>
        <v>JIAMPETTI</v>
      </c>
      <c r="T7" s="20" t="str">
        <f>+'Lead Sheet'!AU7</f>
        <v>BALLES</v>
      </c>
      <c r="U7" s="21" t="str">
        <f>+'Lead Sheet'!AV7</f>
        <v>FERNANDEZ</v>
      </c>
      <c r="W7" s="20" t="str">
        <f>+'Lead Sheet'!BD7</f>
        <v>BERTINO</v>
      </c>
      <c r="X7" s="21" t="str">
        <f>+'Lead Sheet'!BE7</f>
        <v>BEYERS</v>
      </c>
      <c r="Z7" s="20" t="s">
        <v>268</v>
      </c>
      <c r="AA7" s="7" t="s">
        <v>74</v>
      </c>
      <c r="AB7" s="7" t="s">
        <v>270</v>
      </c>
      <c r="AC7" s="21" t="s">
        <v>272</v>
      </c>
      <c r="AE7" s="20" t="s">
        <v>274</v>
      </c>
      <c r="AF7" s="7" t="s">
        <v>275</v>
      </c>
      <c r="AG7" s="21" t="s">
        <v>277</v>
      </c>
      <c r="AI7" s="229"/>
      <c r="AJ7" s="230"/>
      <c r="AK7" s="9"/>
      <c r="AL7" s="229"/>
      <c r="AM7" s="230"/>
      <c r="AO7" s="22" t="s">
        <v>12</v>
      </c>
      <c r="AP7" s="23" t="s">
        <v>158</v>
      </c>
      <c r="AQ7" s="23" t="s">
        <v>13</v>
      </c>
      <c r="AR7" s="24" t="s">
        <v>14</v>
      </c>
    </row>
    <row r="8" spans="1:44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20" t="str">
        <f>+'Lead Sheet'!S8</f>
        <v>Republican</v>
      </c>
      <c r="J8" s="21" t="str">
        <f>+'Lead Sheet'!T8</f>
        <v>Democrat</v>
      </c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Q8" s="20" t="str">
        <f>+'Lead Sheet'!AR8</f>
        <v>Republican</v>
      </c>
      <c r="R8" s="21" t="str">
        <f>+'Lead Sheet'!AS8</f>
        <v>Democrat</v>
      </c>
      <c r="T8" s="20" t="str">
        <f>+'Lead Sheet'!AU8</f>
        <v>Republican</v>
      </c>
      <c r="U8" s="21" t="str">
        <f>+'Lead Sheet'!AV8</f>
        <v>Democrat</v>
      </c>
      <c r="W8" s="20" t="str">
        <f>+'Lead Sheet'!BD8</f>
        <v>Republican</v>
      </c>
      <c r="X8" s="21" t="str">
        <f>+'Lead Sheet'!BE8</f>
        <v>Democrat</v>
      </c>
      <c r="Z8" s="20" t="s">
        <v>16</v>
      </c>
      <c r="AA8" s="7" t="s">
        <v>16</v>
      </c>
      <c r="AB8" s="7" t="s">
        <v>59</v>
      </c>
      <c r="AC8" s="21" t="s">
        <v>59</v>
      </c>
      <c r="AE8" s="20"/>
      <c r="AF8" s="7"/>
      <c r="AG8" s="21"/>
      <c r="AI8" s="229"/>
      <c r="AJ8" s="230"/>
      <c r="AK8" s="9"/>
      <c r="AL8" s="229"/>
      <c r="AM8" s="230"/>
      <c r="AO8" s="22" t="s">
        <v>18</v>
      </c>
      <c r="AP8" s="23" t="s">
        <v>145</v>
      </c>
      <c r="AQ8" s="23" t="s">
        <v>19</v>
      </c>
      <c r="AR8" s="24" t="s">
        <v>18</v>
      </c>
    </row>
    <row r="9" spans="1:44" x14ac:dyDescent="0.25">
      <c r="C9" s="60"/>
      <c r="D9" s="31"/>
      <c r="E9" s="31"/>
      <c r="F9" s="31"/>
      <c r="G9" s="61" t="str">
        <f>+'Lead Sheet'!G9</f>
        <v>Party</v>
      </c>
      <c r="I9" s="20"/>
      <c r="J9" s="21"/>
      <c r="L9" s="20"/>
      <c r="M9" s="7"/>
      <c r="N9" s="7"/>
      <c r="O9" s="21"/>
      <c r="Q9" s="20"/>
      <c r="R9" s="21"/>
      <c r="T9" s="20"/>
      <c r="U9" s="21"/>
      <c r="W9" s="20"/>
      <c r="X9" s="21"/>
      <c r="Z9" s="20"/>
      <c r="AA9" s="7"/>
      <c r="AB9" s="7"/>
      <c r="AC9" s="21"/>
      <c r="AE9" s="20"/>
      <c r="AF9" s="7"/>
      <c r="AG9" s="21"/>
      <c r="AI9" s="27"/>
      <c r="AJ9" s="28"/>
      <c r="AK9" s="9"/>
      <c r="AL9" s="27"/>
      <c r="AM9" s="28"/>
      <c r="AO9" s="119"/>
      <c r="AP9" s="118"/>
      <c r="AQ9" s="118"/>
      <c r="AR9" s="120"/>
    </row>
    <row r="10" spans="1:44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136"/>
      <c r="X10" s="137"/>
      <c r="Z10" s="136"/>
      <c r="AA10" s="152"/>
      <c r="AB10" s="152"/>
      <c r="AC10" s="137"/>
      <c r="AE10" s="136"/>
      <c r="AF10" s="152"/>
      <c r="AG10" s="137"/>
      <c r="AI10" s="36"/>
      <c r="AJ10" s="38"/>
      <c r="AK10" s="9"/>
      <c r="AL10" s="36"/>
      <c r="AM10" s="38"/>
      <c r="AO10" s="33"/>
      <c r="AP10" s="34"/>
      <c r="AQ10" s="34"/>
      <c r="AR10" s="35"/>
    </row>
    <row r="11" spans="1:44" x14ac:dyDescent="0.25">
      <c r="A11" t="s">
        <v>263</v>
      </c>
      <c r="C11" s="40">
        <v>429</v>
      </c>
      <c r="D11" s="40">
        <v>156</v>
      </c>
      <c r="E11" s="40">
        <v>1</v>
      </c>
      <c r="F11" s="40">
        <v>1</v>
      </c>
      <c r="G11" s="40">
        <v>2</v>
      </c>
      <c r="I11" s="40">
        <v>402</v>
      </c>
      <c r="J11" s="40">
        <v>180</v>
      </c>
      <c r="L11" s="40">
        <v>380</v>
      </c>
      <c r="M11" s="40">
        <v>396</v>
      </c>
      <c r="N11" s="40">
        <v>197</v>
      </c>
      <c r="O11" s="40">
        <v>169</v>
      </c>
      <c r="Q11" s="40">
        <v>412</v>
      </c>
      <c r="R11" s="40">
        <v>141</v>
      </c>
      <c r="T11" s="139">
        <v>420</v>
      </c>
      <c r="U11" s="139">
        <v>149</v>
      </c>
      <c r="W11" s="40">
        <v>422</v>
      </c>
      <c r="X11" s="139">
        <v>147</v>
      </c>
      <c r="Z11" s="59">
        <v>401</v>
      </c>
      <c r="AA11" s="59">
        <v>409</v>
      </c>
      <c r="AB11" s="59">
        <v>175</v>
      </c>
      <c r="AC11" s="59">
        <v>164</v>
      </c>
      <c r="AE11" s="59">
        <v>316</v>
      </c>
      <c r="AF11" s="59">
        <v>345</v>
      </c>
      <c r="AG11" s="59">
        <v>307</v>
      </c>
      <c r="AI11" s="40">
        <v>208</v>
      </c>
      <c r="AJ11" s="40">
        <v>277</v>
      </c>
      <c r="AL11" s="40">
        <v>272</v>
      </c>
      <c r="AM11" s="40">
        <v>183</v>
      </c>
      <c r="AO11" s="59">
        <v>595</v>
      </c>
      <c r="AP11" s="237">
        <v>181</v>
      </c>
      <c r="AQ11" s="237">
        <v>398</v>
      </c>
      <c r="AR11" s="238">
        <f>13+41</f>
        <v>54</v>
      </c>
    </row>
    <row r="12" spans="1:44" x14ac:dyDescent="0.25">
      <c r="A12" t="s">
        <v>264</v>
      </c>
      <c r="C12" s="40">
        <v>436</v>
      </c>
      <c r="D12" s="40">
        <v>121</v>
      </c>
      <c r="E12" s="40">
        <v>3</v>
      </c>
      <c r="F12" s="40">
        <v>1</v>
      </c>
      <c r="G12" s="40">
        <v>0</v>
      </c>
      <c r="I12" s="40">
        <v>405</v>
      </c>
      <c r="J12" s="40">
        <v>140</v>
      </c>
      <c r="L12" s="40">
        <v>378</v>
      </c>
      <c r="M12" s="40">
        <v>401</v>
      </c>
      <c r="N12" s="40">
        <v>162</v>
      </c>
      <c r="O12" s="40">
        <v>135</v>
      </c>
      <c r="Q12" s="40">
        <v>424</v>
      </c>
      <c r="R12" s="40">
        <v>115</v>
      </c>
      <c r="T12" s="139">
        <v>423</v>
      </c>
      <c r="U12" s="139">
        <v>109</v>
      </c>
      <c r="W12" s="40">
        <v>426</v>
      </c>
      <c r="X12" s="139">
        <v>108</v>
      </c>
      <c r="Z12" s="40">
        <v>406</v>
      </c>
      <c r="AA12" s="40">
        <v>408</v>
      </c>
      <c r="AB12" s="40">
        <v>133</v>
      </c>
      <c r="AC12" s="40">
        <v>127</v>
      </c>
      <c r="AE12" s="40">
        <v>310</v>
      </c>
      <c r="AF12" s="40">
        <v>329</v>
      </c>
      <c r="AG12" s="40">
        <v>291</v>
      </c>
      <c r="AI12" s="40">
        <v>186</v>
      </c>
      <c r="AJ12" s="40">
        <v>272</v>
      </c>
      <c r="AL12" s="40">
        <v>271</v>
      </c>
      <c r="AM12" s="40">
        <v>160</v>
      </c>
      <c r="AO12" s="40">
        <v>564</v>
      </c>
      <c r="AP12" s="232"/>
      <c r="AQ12" s="232"/>
      <c r="AR12" s="239"/>
    </row>
    <row r="13" spans="1:44" x14ac:dyDescent="0.25">
      <c r="A13" t="s">
        <v>265</v>
      </c>
      <c r="C13" s="40">
        <v>210</v>
      </c>
      <c r="D13" s="40">
        <v>168</v>
      </c>
      <c r="E13" s="40">
        <v>1</v>
      </c>
      <c r="F13" s="40">
        <v>1</v>
      </c>
      <c r="G13" s="40">
        <v>0</v>
      </c>
      <c r="I13" s="40">
        <v>193</v>
      </c>
      <c r="J13" s="40">
        <v>176</v>
      </c>
      <c r="L13" s="40">
        <v>191</v>
      </c>
      <c r="M13" s="40">
        <v>193</v>
      </c>
      <c r="N13" s="40">
        <v>178</v>
      </c>
      <c r="O13" s="40">
        <v>170</v>
      </c>
      <c r="Q13" s="40">
        <v>206</v>
      </c>
      <c r="R13" s="40">
        <v>160</v>
      </c>
      <c r="T13" s="139">
        <v>204</v>
      </c>
      <c r="U13" s="139">
        <v>162</v>
      </c>
      <c r="W13" s="40">
        <v>203</v>
      </c>
      <c r="X13" s="139">
        <v>158</v>
      </c>
      <c r="Z13" s="40">
        <v>190</v>
      </c>
      <c r="AA13" s="40">
        <v>190</v>
      </c>
      <c r="AB13" s="40">
        <v>178</v>
      </c>
      <c r="AC13" s="40">
        <v>175</v>
      </c>
      <c r="AE13" s="40">
        <v>188</v>
      </c>
      <c r="AF13" s="40">
        <v>195</v>
      </c>
      <c r="AG13" s="40">
        <v>176</v>
      </c>
      <c r="AI13" s="40">
        <v>135</v>
      </c>
      <c r="AJ13" s="40">
        <v>124</v>
      </c>
      <c r="AL13" s="40">
        <v>151</v>
      </c>
      <c r="AM13" s="40">
        <v>81</v>
      </c>
      <c r="AO13" s="40">
        <v>382</v>
      </c>
      <c r="AP13" s="232"/>
      <c r="AQ13" s="232"/>
      <c r="AR13" s="239"/>
    </row>
    <row r="14" spans="1:44" x14ac:dyDescent="0.25">
      <c r="A14" t="s">
        <v>266</v>
      </c>
      <c r="C14" s="40">
        <v>322</v>
      </c>
      <c r="D14" s="40">
        <v>104</v>
      </c>
      <c r="E14" s="40">
        <v>4</v>
      </c>
      <c r="F14" s="40">
        <v>1</v>
      </c>
      <c r="G14" s="40">
        <v>0</v>
      </c>
      <c r="I14" s="40">
        <v>296</v>
      </c>
      <c r="J14" s="40">
        <v>118</v>
      </c>
      <c r="L14" s="40">
        <v>274</v>
      </c>
      <c r="M14" s="40">
        <v>278</v>
      </c>
      <c r="N14" s="40">
        <v>137</v>
      </c>
      <c r="O14" s="40">
        <v>125</v>
      </c>
      <c r="Q14" s="40">
        <v>302</v>
      </c>
      <c r="R14" s="40">
        <v>110</v>
      </c>
      <c r="T14" s="139">
        <v>306</v>
      </c>
      <c r="U14" s="139">
        <v>109</v>
      </c>
      <c r="W14" s="40">
        <v>307</v>
      </c>
      <c r="X14" s="139">
        <v>103</v>
      </c>
      <c r="Z14" s="40">
        <v>301</v>
      </c>
      <c r="AA14" s="40">
        <v>297</v>
      </c>
      <c r="AB14" s="40">
        <v>112</v>
      </c>
      <c r="AC14" s="40">
        <v>104</v>
      </c>
      <c r="AE14" s="40">
        <v>220</v>
      </c>
      <c r="AF14" s="40">
        <v>225</v>
      </c>
      <c r="AG14" s="40">
        <v>206</v>
      </c>
      <c r="AI14" s="40">
        <v>157</v>
      </c>
      <c r="AJ14" s="40">
        <v>184</v>
      </c>
      <c r="AL14" s="40">
        <v>196</v>
      </c>
      <c r="AM14" s="40">
        <v>130</v>
      </c>
      <c r="AO14" s="40">
        <v>432</v>
      </c>
      <c r="AP14" s="233"/>
      <c r="AQ14" s="233"/>
      <c r="AR14" s="240"/>
    </row>
    <row r="15" spans="1:44" ht="15.75" thickBot="1" x14ac:dyDescent="0.3"/>
    <row r="16" spans="1:44" ht="15.75" thickBot="1" x14ac:dyDescent="0.3">
      <c r="A16" s="50" t="s">
        <v>8</v>
      </c>
      <c r="B16" s="1"/>
      <c r="C16" s="51">
        <f>+SUM(C11:C14)</f>
        <v>1397</v>
      </c>
      <c r="D16" s="51">
        <f>+SUM(D11:D14)</f>
        <v>549</v>
      </c>
      <c r="E16" s="51">
        <f>+SUM(E11:E14)</f>
        <v>9</v>
      </c>
      <c r="F16" s="51">
        <f>+SUM(F11:F14)</f>
        <v>4</v>
      </c>
      <c r="G16" s="51">
        <f>+SUM(G11:G14)</f>
        <v>2</v>
      </c>
      <c r="I16" s="51">
        <f>+SUM(I11:I14)</f>
        <v>1296</v>
      </c>
      <c r="J16" s="51">
        <f>+SUM(J11:J14)</f>
        <v>614</v>
      </c>
      <c r="L16" s="51">
        <f>+SUM(L11:L14)</f>
        <v>1223</v>
      </c>
      <c r="M16" s="51">
        <f>+SUM(M11:M14)</f>
        <v>1268</v>
      </c>
      <c r="N16" s="51">
        <f>+SUM(N11:N14)</f>
        <v>674</v>
      </c>
      <c r="O16" s="51">
        <f>+SUM(O11:O14)</f>
        <v>599</v>
      </c>
      <c r="Q16" s="51">
        <f>+SUM(Q11:Q14)</f>
        <v>1344</v>
      </c>
      <c r="R16" s="51">
        <f>+SUM(R11:R14)</f>
        <v>526</v>
      </c>
      <c r="T16" s="51">
        <f>+SUM(T11:T14)</f>
        <v>1353</v>
      </c>
      <c r="U16" s="51">
        <f>+SUM(U11:U14)</f>
        <v>529</v>
      </c>
      <c r="W16" s="51">
        <f>+SUM(W11:W14)</f>
        <v>1358</v>
      </c>
      <c r="X16" s="51">
        <f>+SUM(X11:X14)</f>
        <v>516</v>
      </c>
      <c r="Z16" s="51">
        <f>+SUM(Z11:Z14)</f>
        <v>1298</v>
      </c>
      <c r="AA16" s="51">
        <f>+SUM(AA11:AA14)</f>
        <v>1304</v>
      </c>
      <c r="AB16" s="51">
        <f>+SUM(AB11:AB14)</f>
        <v>598</v>
      </c>
      <c r="AC16" s="51">
        <f>+SUM(AC11:AC14)</f>
        <v>570</v>
      </c>
      <c r="AE16" s="51">
        <f>+SUM(AE11:AE14)</f>
        <v>1034</v>
      </c>
      <c r="AF16" s="51">
        <f>+SUM(AF11:AF14)</f>
        <v>1094</v>
      </c>
      <c r="AG16" s="51">
        <f>+SUM(AG11:AG14)</f>
        <v>980</v>
      </c>
      <c r="AI16" s="51">
        <f>+SUM(AI11:AI14)</f>
        <v>686</v>
      </c>
      <c r="AJ16" s="51">
        <f>+SUM(AJ11:AJ14)</f>
        <v>857</v>
      </c>
      <c r="AL16" s="51">
        <f>+SUM(AL11:AL14)</f>
        <v>890</v>
      </c>
      <c r="AM16" s="51">
        <f>+SUM(AM11:AM14)</f>
        <v>554</v>
      </c>
      <c r="AO16" s="51">
        <f t="shared" ref="AO16:AR16" si="0">+SUM(AO11:AO14)</f>
        <v>1973</v>
      </c>
      <c r="AP16" s="51">
        <f t="shared" si="0"/>
        <v>181</v>
      </c>
      <c r="AQ16" s="51">
        <f t="shared" si="0"/>
        <v>398</v>
      </c>
      <c r="AR16" s="51">
        <f t="shared" si="0"/>
        <v>54</v>
      </c>
    </row>
    <row r="17" spans="1:39" x14ac:dyDescent="0.25">
      <c r="A17" s="92" t="s">
        <v>146</v>
      </c>
      <c r="B17" s="1"/>
      <c r="C17" s="53">
        <v>85</v>
      </c>
      <c r="D17" s="53">
        <v>93</v>
      </c>
      <c r="E17" s="53">
        <v>0</v>
      </c>
      <c r="F17" s="53">
        <v>0</v>
      </c>
      <c r="G17" s="53">
        <v>1</v>
      </c>
      <c r="I17" s="53">
        <v>81</v>
      </c>
      <c r="J17" s="53">
        <v>94</v>
      </c>
      <c r="L17" s="53">
        <v>76</v>
      </c>
      <c r="M17" s="53">
        <v>79</v>
      </c>
      <c r="N17" s="53">
        <v>97</v>
      </c>
      <c r="O17" s="53">
        <v>93</v>
      </c>
      <c r="Q17" s="53">
        <v>82</v>
      </c>
      <c r="R17" s="53">
        <v>89</v>
      </c>
      <c r="T17" s="53">
        <v>82</v>
      </c>
      <c r="U17" s="53">
        <v>85</v>
      </c>
      <c r="W17" s="53">
        <v>81</v>
      </c>
      <c r="X17" s="53">
        <v>86</v>
      </c>
      <c r="Z17" s="53">
        <v>73</v>
      </c>
      <c r="AA17" s="53">
        <v>76</v>
      </c>
      <c r="AB17" s="53">
        <v>100</v>
      </c>
      <c r="AC17" s="53">
        <v>97</v>
      </c>
      <c r="AE17" s="53">
        <v>108</v>
      </c>
      <c r="AF17" s="53">
        <v>104</v>
      </c>
      <c r="AG17" s="53">
        <v>99</v>
      </c>
      <c r="AI17" s="53">
        <v>65</v>
      </c>
      <c r="AJ17" s="53">
        <v>99</v>
      </c>
      <c r="AL17" s="53">
        <v>105</v>
      </c>
      <c r="AM17" s="53">
        <v>59</v>
      </c>
    </row>
    <row r="18" spans="1:39" x14ac:dyDescent="0.25">
      <c r="A18" s="92" t="s">
        <v>43</v>
      </c>
      <c r="B18" s="1"/>
      <c r="C18" s="41">
        <v>135</v>
      </c>
      <c r="D18" s="41">
        <v>256</v>
      </c>
      <c r="E18" s="41">
        <v>0</v>
      </c>
      <c r="F18" s="41">
        <v>3</v>
      </c>
      <c r="G18" s="41">
        <v>0</v>
      </c>
      <c r="I18" s="41">
        <v>124</v>
      </c>
      <c r="J18" s="41">
        <v>265</v>
      </c>
      <c r="L18" s="41">
        <v>120</v>
      </c>
      <c r="M18" s="41">
        <v>128</v>
      </c>
      <c r="N18" s="41">
        <v>271</v>
      </c>
      <c r="O18" s="41">
        <v>254</v>
      </c>
      <c r="Q18" s="41">
        <v>130</v>
      </c>
      <c r="R18" s="41">
        <v>257</v>
      </c>
      <c r="T18" s="41">
        <v>134</v>
      </c>
      <c r="U18" s="41">
        <v>251</v>
      </c>
      <c r="W18" s="41">
        <v>138</v>
      </c>
      <c r="X18" s="41">
        <v>247</v>
      </c>
      <c r="Z18" s="41">
        <v>132</v>
      </c>
      <c r="AA18" s="41">
        <v>139</v>
      </c>
      <c r="AB18" s="41">
        <v>261</v>
      </c>
      <c r="AC18" s="41">
        <v>245</v>
      </c>
      <c r="AE18" s="41">
        <v>268</v>
      </c>
      <c r="AF18" s="41">
        <v>282</v>
      </c>
      <c r="AG18" s="41">
        <v>267</v>
      </c>
      <c r="AI18" s="41">
        <v>123</v>
      </c>
      <c r="AJ18" s="41">
        <v>228</v>
      </c>
      <c r="AL18" s="41">
        <v>222</v>
      </c>
      <c r="AM18" s="41">
        <v>116</v>
      </c>
    </row>
    <row r="19" spans="1:39" s="191" customFormat="1" x14ac:dyDescent="0.25">
      <c r="A19" s="94" t="s">
        <v>644</v>
      </c>
      <c r="B19" s="192"/>
      <c r="C19" s="41">
        <v>7</v>
      </c>
      <c r="D19" s="41">
        <v>6</v>
      </c>
      <c r="E19" s="41">
        <v>0</v>
      </c>
      <c r="F19" s="41">
        <v>0</v>
      </c>
      <c r="G19" s="41">
        <v>0</v>
      </c>
      <c r="I19" s="41">
        <v>6</v>
      </c>
      <c r="J19" s="41">
        <v>6</v>
      </c>
      <c r="L19" s="95">
        <v>6</v>
      </c>
      <c r="M19" s="95">
        <v>6</v>
      </c>
      <c r="N19" s="95">
        <v>7</v>
      </c>
      <c r="O19" s="95">
        <v>6</v>
      </c>
      <c r="Q19" s="95">
        <v>7</v>
      </c>
      <c r="R19" s="95">
        <v>5</v>
      </c>
      <c r="T19" s="95">
        <v>7</v>
      </c>
      <c r="U19" s="95">
        <v>6</v>
      </c>
      <c r="W19" s="95">
        <v>6</v>
      </c>
      <c r="X19" s="95">
        <v>7</v>
      </c>
      <c r="Z19" s="95">
        <v>7</v>
      </c>
      <c r="AA19" s="95">
        <v>6</v>
      </c>
      <c r="AB19" s="95">
        <v>5</v>
      </c>
      <c r="AC19" s="95">
        <v>6</v>
      </c>
      <c r="AE19" s="95">
        <v>6</v>
      </c>
      <c r="AF19" s="95">
        <v>8</v>
      </c>
      <c r="AG19" s="95">
        <v>6</v>
      </c>
      <c r="AI19" s="95">
        <v>4</v>
      </c>
      <c r="AJ19" s="95">
        <v>5</v>
      </c>
      <c r="AL19" s="95">
        <v>5</v>
      </c>
      <c r="AM19" s="95">
        <v>5</v>
      </c>
    </row>
    <row r="20" spans="1:39" x14ac:dyDescent="0.25">
      <c r="A20" s="94" t="s">
        <v>645</v>
      </c>
      <c r="B20" s="192"/>
      <c r="C20" s="41">
        <v>22</v>
      </c>
      <c r="D20" s="41">
        <v>18</v>
      </c>
      <c r="E20" s="41">
        <v>0</v>
      </c>
      <c r="F20" s="41">
        <v>0</v>
      </c>
      <c r="G20" s="41">
        <v>0</v>
      </c>
      <c r="H20" s="213"/>
      <c r="I20" s="41">
        <v>22</v>
      </c>
      <c r="J20" s="41">
        <v>18</v>
      </c>
      <c r="L20" s="41">
        <v>20</v>
      </c>
      <c r="M20" s="41">
        <v>21</v>
      </c>
      <c r="N20" s="41">
        <v>19</v>
      </c>
      <c r="O20" s="41">
        <v>18</v>
      </c>
      <c r="Q20" s="41">
        <v>21</v>
      </c>
      <c r="R20" s="41">
        <v>18</v>
      </c>
      <c r="T20" s="41">
        <v>20</v>
      </c>
      <c r="U20" s="41">
        <v>19</v>
      </c>
      <c r="W20" s="41">
        <v>22</v>
      </c>
      <c r="X20" s="41">
        <v>17</v>
      </c>
      <c r="Z20" s="41">
        <v>20</v>
      </c>
      <c r="AA20" s="41">
        <v>19</v>
      </c>
      <c r="AB20" s="41">
        <v>18</v>
      </c>
      <c r="AC20" s="41">
        <v>18</v>
      </c>
      <c r="AE20" s="41">
        <v>25</v>
      </c>
      <c r="AF20" s="41">
        <v>25</v>
      </c>
      <c r="AG20" s="41">
        <v>24</v>
      </c>
      <c r="AI20" s="41">
        <v>11</v>
      </c>
      <c r="AJ20" s="41">
        <v>13</v>
      </c>
      <c r="AL20" s="41">
        <v>16</v>
      </c>
      <c r="AM20" s="41">
        <v>7</v>
      </c>
    </row>
    <row r="21" spans="1:39" s="191" customFormat="1" ht="15.75" thickBot="1" x14ac:dyDescent="0.3">
      <c r="A21" s="94" t="s">
        <v>651</v>
      </c>
      <c r="B21" s="192"/>
      <c r="C21" s="214">
        <f>3+1</f>
        <v>4</v>
      </c>
      <c r="D21" s="214">
        <v>0</v>
      </c>
      <c r="E21" s="214">
        <v>0</v>
      </c>
      <c r="F21" s="214">
        <v>0</v>
      </c>
      <c r="G21" s="214">
        <v>0</v>
      </c>
      <c r="H21" s="215"/>
      <c r="I21" s="214">
        <f>3+1</f>
        <v>4</v>
      </c>
      <c r="J21" s="214">
        <v>0</v>
      </c>
      <c r="L21" s="214">
        <f>2+1</f>
        <v>3</v>
      </c>
      <c r="M21" s="214">
        <f>3+1</f>
        <v>4</v>
      </c>
      <c r="N21" s="214">
        <f>1</f>
        <v>1</v>
      </c>
      <c r="O21" s="214">
        <v>0</v>
      </c>
      <c r="Q21" s="214">
        <f>3+1</f>
        <v>4</v>
      </c>
      <c r="R21" s="214">
        <v>0</v>
      </c>
      <c r="T21" s="214">
        <f>3+1</f>
        <v>4</v>
      </c>
      <c r="U21" s="214">
        <v>0</v>
      </c>
      <c r="W21" s="214">
        <f>2+1</f>
        <v>3</v>
      </c>
      <c r="X21" s="214">
        <v>0</v>
      </c>
      <c r="Z21" s="214">
        <v>2</v>
      </c>
      <c r="AA21" s="214">
        <f>2</f>
        <v>2</v>
      </c>
      <c r="AB21" s="214">
        <f>1</f>
        <v>1</v>
      </c>
      <c r="AC21" s="214">
        <f>1</f>
        <v>1</v>
      </c>
      <c r="AE21" s="214">
        <v>0</v>
      </c>
      <c r="AF21" s="214">
        <v>0</v>
      </c>
      <c r="AG21" s="214">
        <v>0</v>
      </c>
      <c r="AI21" s="214">
        <v>0</v>
      </c>
      <c r="AJ21" s="214">
        <f>1</f>
        <v>1</v>
      </c>
      <c r="AK21" s="213"/>
      <c r="AL21" s="214">
        <v>0</v>
      </c>
      <c r="AM21" s="214">
        <f>1</f>
        <v>1</v>
      </c>
    </row>
    <row r="22" spans="1:39" ht="15.75" thickBot="1" x14ac:dyDescent="0.3">
      <c r="A22" s="50" t="s">
        <v>45</v>
      </c>
      <c r="B22" s="1"/>
      <c r="C22" s="51">
        <f>+SUM(C16:C21)</f>
        <v>1650</v>
      </c>
      <c r="D22" s="51">
        <f t="shared" ref="D22:G22" si="1">+SUM(D16:D21)</f>
        <v>922</v>
      </c>
      <c r="E22" s="51">
        <f t="shared" si="1"/>
        <v>9</v>
      </c>
      <c r="F22" s="51">
        <f t="shared" si="1"/>
        <v>7</v>
      </c>
      <c r="G22" s="51">
        <f t="shared" si="1"/>
        <v>3</v>
      </c>
      <c r="I22" s="51">
        <f t="shared" ref="I22:J22" si="2">+SUM(I16:I21)</f>
        <v>1533</v>
      </c>
      <c r="J22" s="51">
        <f t="shared" si="2"/>
        <v>997</v>
      </c>
      <c r="L22" s="51">
        <f t="shared" ref="L22:O22" si="3">+SUM(L16:L21)</f>
        <v>1448</v>
      </c>
      <c r="M22" s="51">
        <f t="shared" si="3"/>
        <v>1506</v>
      </c>
      <c r="N22" s="51">
        <f t="shared" si="3"/>
        <v>1069</v>
      </c>
      <c r="O22" s="51">
        <f t="shared" si="3"/>
        <v>970</v>
      </c>
      <c r="Q22" s="51">
        <f t="shared" ref="Q22:R22" si="4">+SUM(Q16:Q21)</f>
        <v>1588</v>
      </c>
      <c r="R22" s="51">
        <f t="shared" si="4"/>
        <v>895</v>
      </c>
      <c r="T22" s="51">
        <f t="shared" ref="T22:U22" si="5">+SUM(T16:T21)</f>
        <v>1600</v>
      </c>
      <c r="U22" s="51">
        <f t="shared" si="5"/>
        <v>890</v>
      </c>
      <c r="W22" s="51">
        <f t="shared" ref="W22:X22" si="6">+SUM(W16:W21)</f>
        <v>1608</v>
      </c>
      <c r="X22" s="51">
        <f t="shared" si="6"/>
        <v>873</v>
      </c>
      <c r="Z22" s="51">
        <f t="shared" ref="Z22:AC22" si="7">+SUM(Z16:Z21)</f>
        <v>1532</v>
      </c>
      <c r="AA22" s="51">
        <f t="shared" si="7"/>
        <v>1546</v>
      </c>
      <c r="AB22" s="51">
        <f t="shared" si="7"/>
        <v>983</v>
      </c>
      <c r="AC22" s="51">
        <f t="shared" si="7"/>
        <v>937</v>
      </c>
      <c r="AE22" s="51">
        <f t="shared" ref="AE22:AG22" si="8">+SUM(AE16:AE21)</f>
        <v>1441</v>
      </c>
      <c r="AF22" s="51">
        <f t="shared" si="8"/>
        <v>1513</v>
      </c>
      <c r="AG22" s="51">
        <f t="shared" si="8"/>
        <v>1376</v>
      </c>
      <c r="AI22" s="51">
        <f t="shared" ref="AI22:AJ22" si="9">+SUM(AI16:AI21)</f>
        <v>889</v>
      </c>
      <c r="AJ22" s="51">
        <f t="shared" si="9"/>
        <v>1203</v>
      </c>
      <c r="AL22" s="51">
        <f t="shared" ref="AL22:AM22" si="10">+SUM(AL16:AL21)</f>
        <v>1238</v>
      </c>
      <c r="AM22" s="51">
        <f t="shared" si="10"/>
        <v>742</v>
      </c>
    </row>
  </sheetData>
  <mergeCells count="21">
    <mergeCell ref="C2:G2"/>
    <mergeCell ref="I2:O2"/>
    <mergeCell ref="C3:G3"/>
    <mergeCell ref="I3:J3"/>
    <mergeCell ref="L3:O3"/>
    <mergeCell ref="AQ11:AQ14"/>
    <mergeCell ref="AP11:AP14"/>
    <mergeCell ref="AO2:AR3"/>
    <mergeCell ref="Q3:R3"/>
    <mergeCell ref="T3:U3"/>
    <mergeCell ref="AI6:AI8"/>
    <mergeCell ref="AJ6:AJ8"/>
    <mergeCell ref="AL6:AL8"/>
    <mergeCell ref="AM6:AM8"/>
    <mergeCell ref="AE3:AG3"/>
    <mergeCell ref="AE2:AG2"/>
    <mergeCell ref="Z3:AC3"/>
    <mergeCell ref="W3:X3"/>
    <mergeCell ref="AI3:AJ3"/>
    <mergeCell ref="AL3:AM3"/>
    <mergeCell ref="AR11:AR14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9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customWidth="1"/>
    <col min="2" max="2" width="1.7109375" customWidth="1"/>
    <col min="3" max="6" width="14" customWidth="1"/>
    <col min="7" max="7" width="15" customWidth="1"/>
    <col min="8" max="8" width="1.7109375" customWidth="1"/>
    <col min="9" max="10" width="14" customWidth="1"/>
    <col min="11" max="11" width="1.7109375" customWidth="1"/>
    <col min="12" max="17" width="14" customWidth="1"/>
    <col min="18" max="18" width="1.7109375" customWidth="1"/>
    <col min="19" max="20" width="10.7109375" customWidth="1"/>
    <col min="21" max="21" width="1.7109375" customWidth="1"/>
    <col min="22" max="23" width="11.85546875" customWidth="1"/>
    <col min="24" max="24" width="1.7109375" customWidth="1"/>
    <col min="25" max="26" width="11.85546875" customWidth="1"/>
    <col min="27" max="27" width="1.7109375" customWidth="1"/>
    <col min="28" max="29" width="10.7109375" customWidth="1"/>
    <col min="30" max="30" width="1.7109375" customWidth="1"/>
    <col min="31" max="32" width="9.7109375" customWidth="1"/>
    <col min="33" max="33" width="1.7109375" customWidth="1"/>
    <col min="34" max="35" width="9.7109375" customWidth="1"/>
    <col min="36" max="36" width="1.7109375" customWidth="1"/>
    <col min="37" max="37" width="11.85546875" customWidth="1"/>
    <col min="38" max="39" width="9.5703125" customWidth="1"/>
    <col min="40" max="40" width="11.85546875" customWidth="1"/>
    <col min="41" max="41" width="9.5703125" customWidth="1"/>
    <col min="42" max="60" width="13.42578125" customWidth="1"/>
  </cols>
  <sheetData>
    <row r="2" spans="1:40" x14ac:dyDescent="0.25">
      <c r="C2" s="224"/>
      <c r="D2" s="225"/>
      <c r="E2" s="225"/>
      <c r="F2" s="225"/>
      <c r="G2" s="226"/>
      <c r="I2" s="224" t="s">
        <v>1</v>
      </c>
      <c r="J2" s="225"/>
      <c r="K2" s="225"/>
      <c r="L2" s="225"/>
      <c r="M2" s="225"/>
      <c r="N2" s="225"/>
      <c r="O2" s="225"/>
      <c r="P2" s="225"/>
      <c r="Q2" s="226"/>
      <c r="S2" s="80"/>
      <c r="T2" s="81"/>
      <c r="U2" s="1"/>
      <c r="V2" s="80"/>
      <c r="W2" s="81"/>
      <c r="Y2" s="80"/>
      <c r="Z2" s="81"/>
      <c r="AB2" s="145"/>
      <c r="AC2" s="146"/>
      <c r="AE2" s="80"/>
      <c r="AF2" s="81"/>
      <c r="AG2" s="9"/>
      <c r="AH2" s="80"/>
      <c r="AI2" s="81"/>
      <c r="AK2" s="234" t="s">
        <v>5</v>
      </c>
      <c r="AL2" s="235"/>
      <c r="AM2" s="235"/>
      <c r="AN2" s="236"/>
    </row>
    <row r="3" spans="1:40" x14ac:dyDescent="0.25">
      <c r="C3" s="222" t="s">
        <v>46</v>
      </c>
      <c r="D3" s="227"/>
      <c r="E3" s="227"/>
      <c r="F3" s="227"/>
      <c r="G3" s="223"/>
      <c r="I3" s="222" t="s">
        <v>88</v>
      </c>
      <c r="J3" s="227"/>
      <c r="K3" s="64"/>
      <c r="L3" s="227" t="s">
        <v>0</v>
      </c>
      <c r="M3" s="227"/>
      <c r="N3" s="227"/>
      <c r="O3" s="227"/>
      <c r="P3" s="227"/>
      <c r="Q3" s="223"/>
      <c r="S3" s="222" t="s">
        <v>121</v>
      </c>
      <c r="T3" s="223"/>
      <c r="U3" s="1"/>
      <c r="V3" s="222" t="s">
        <v>122</v>
      </c>
      <c r="W3" s="223"/>
      <c r="Y3" s="222" t="s">
        <v>125</v>
      </c>
      <c r="Z3" s="223"/>
      <c r="AB3" s="222" t="s">
        <v>147</v>
      </c>
      <c r="AC3" s="223"/>
      <c r="AE3" s="222" t="s">
        <v>126</v>
      </c>
      <c r="AF3" s="223"/>
      <c r="AG3" s="9"/>
      <c r="AH3" s="222" t="s">
        <v>127</v>
      </c>
      <c r="AI3" s="223"/>
      <c r="AK3" s="219"/>
      <c r="AL3" s="220"/>
      <c r="AM3" s="220"/>
      <c r="AN3" s="221"/>
    </row>
    <row r="4" spans="1:40" ht="5.0999999999999996" customHeight="1" thickBot="1" x14ac:dyDescent="0.3">
      <c r="C4" s="109"/>
      <c r="D4" s="110"/>
      <c r="E4" s="110"/>
      <c r="F4" s="110"/>
      <c r="G4" s="111"/>
      <c r="I4" s="109"/>
      <c r="J4" s="110"/>
      <c r="K4" s="64"/>
      <c r="L4" s="73"/>
      <c r="M4" s="73"/>
      <c r="N4" s="73"/>
      <c r="O4" s="73"/>
      <c r="P4" s="73"/>
      <c r="Q4" s="74"/>
      <c r="S4" s="114"/>
      <c r="T4" s="79"/>
      <c r="U4" s="1"/>
      <c r="V4" s="114"/>
      <c r="W4" s="79"/>
      <c r="Y4" s="114"/>
      <c r="Z4" s="79"/>
      <c r="AB4" s="155"/>
      <c r="AC4" s="156"/>
      <c r="AE4" s="75"/>
      <c r="AF4" s="74"/>
      <c r="AG4" s="9"/>
      <c r="AH4" s="75"/>
      <c r="AI4" s="74"/>
      <c r="AK4" s="204"/>
      <c r="AL4" s="205"/>
      <c r="AM4" s="205"/>
      <c r="AN4" s="206"/>
    </row>
    <row r="5" spans="1:40" x14ac:dyDescent="0.25">
      <c r="C5" s="5"/>
      <c r="D5" s="8"/>
      <c r="E5" s="8"/>
      <c r="F5" s="8"/>
      <c r="G5" s="6"/>
      <c r="I5" s="130"/>
      <c r="J5" s="153"/>
      <c r="K5" s="153"/>
      <c r="L5" s="153"/>
      <c r="M5" s="153"/>
      <c r="N5" s="153"/>
      <c r="O5" s="153"/>
      <c r="P5" s="153"/>
      <c r="Q5" s="131"/>
      <c r="S5" s="130"/>
      <c r="T5" s="131"/>
      <c r="V5" s="130"/>
      <c r="W5" s="131"/>
      <c r="Y5" s="130"/>
      <c r="Z5" s="131"/>
      <c r="AB5" s="130"/>
      <c r="AC5" s="131"/>
      <c r="AE5" s="10"/>
      <c r="AF5" s="12"/>
      <c r="AG5" s="9"/>
      <c r="AH5" s="10"/>
      <c r="AI5" s="12"/>
      <c r="AK5" s="16"/>
      <c r="AL5" s="17"/>
      <c r="AM5" s="17"/>
      <c r="AN5" s="18"/>
    </row>
    <row r="6" spans="1:40" s="138" customFormat="1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I6" s="133" t="str">
        <f>+'Lead Sheet'!I6</f>
        <v>Michael</v>
      </c>
      <c r="J6" s="135" t="str">
        <f>+'Lead Sheet'!J6</f>
        <v>Yolanda E.</v>
      </c>
      <c r="K6" s="135"/>
      <c r="L6" s="135" t="str">
        <f>+'Lead Sheet'!L6</f>
        <v>Erik</v>
      </c>
      <c r="M6" s="135" t="str">
        <f>+'Lead Sheet'!M6</f>
        <v>Antwan</v>
      </c>
      <c r="N6" s="135" t="str">
        <f>+'Lead Sheet'!N6</f>
        <v>John P.</v>
      </c>
      <c r="O6" s="135" t="str">
        <f>+'Lead Sheet'!O6</f>
        <v>Julia L.</v>
      </c>
      <c r="P6" s="135" t="str">
        <f>+'Lead Sheet'!P6</f>
        <v>Michael</v>
      </c>
      <c r="Q6" s="134" t="str">
        <f>+'Lead Sheet'!Q6</f>
        <v>Jacob</v>
      </c>
      <c r="S6" s="133" t="str">
        <f>+'Lead Sheet'!AR6</f>
        <v>Joseph J.</v>
      </c>
      <c r="T6" s="134" t="str">
        <f>+'Lead Sheet'!AS6</f>
        <v>Lisa</v>
      </c>
      <c r="V6" s="133" t="str">
        <f>+'Lead Sheet'!AU6</f>
        <v>Frank X.</v>
      </c>
      <c r="W6" s="134" t="str">
        <f>+'Lead Sheet'!AV6</f>
        <v>Celeste</v>
      </c>
      <c r="Y6" s="133" t="str">
        <f>+'Lead Sheet'!BD6</f>
        <v>James</v>
      </c>
      <c r="Z6" s="134" t="str">
        <f>+'Lead Sheet'!BE6</f>
        <v>Dr. William</v>
      </c>
      <c r="AB6" s="133" t="s">
        <v>279</v>
      </c>
      <c r="AC6" s="134" t="s">
        <v>281</v>
      </c>
      <c r="AE6" s="229" t="s">
        <v>9</v>
      </c>
      <c r="AF6" s="230" t="s">
        <v>10</v>
      </c>
      <c r="AG6" s="9"/>
      <c r="AH6" s="229" t="s">
        <v>9</v>
      </c>
      <c r="AI6" s="230" t="s">
        <v>10</v>
      </c>
      <c r="AK6" s="22" t="s">
        <v>8</v>
      </c>
      <c r="AL6" s="23" t="s">
        <v>8</v>
      </c>
      <c r="AM6" s="23" t="s">
        <v>8</v>
      </c>
      <c r="AN6" s="24" t="s">
        <v>8</v>
      </c>
    </row>
    <row r="7" spans="1:40" s="138" customFormat="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I7" s="133" t="str">
        <f>+'Lead Sheet'!I7</f>
        <v>TESTA</v>
      </c>
      <c r="J7" s="135" t="str">
        <f>+'Lead Sheet'!J7</f>
        <v>GARCIA BALICKI</v>
      </c>
      <c r="K7" s="135"/>
      <c r="L7" s="135" t="str">
        <f>+'Lead Sheet'!L7</f>
        <v>SIMONSEN</v>
      </c>
      <c r="M7" s="135" t="str">
        <f>+'Lead Sheet'!M7</f>
        <v>McCLELLAN</v>
      </c>
      <c r="N7" s="135" t="str">
        <f>+'Lead Sheet'!N7</f>
        <v>CAPIZOLA, Jr.</v>
      </c>
      <c r="O7" s="135" t="str">
        <f>+'Lead Sheet'!O7</f>
        <v>HANKERSON</v>
      </c>
      <c r="P7" s="135" t="str">
        <f>+'Lead Sheet'!P7</f>
        <v>GALLO</v>
      </c>
      <c r="Q7" s="134" t="str">
        <f>+'Lead Sheet'!Q7</f>
        <v>SELWOOD</v>
      </c>
      <c r="S7" s="133" t="str">
        <f>+'Lead Sheet'!AR7</f>
        <v>GIRALO</v>
      </c>
      <c r="T7" s="134" t="str">
        <f>+'Lead Sheet'!AS7</f>
        <v>JIAMPETTI</v>
      </c>
      <c r="V7" s="133" t="str">
        <f>+'Lead Sheet'!AU7</f>
        <v>BALLES</v>
      </c>
      <c r="W7" s="134" t="str">
        <f>+'Lead Sheet'!AV7</f>
        <v>FERNANDEZ</v>
      </c>
      <c r="Y7" s="133" t="str">
        <f>+'Lead Sheet'!BD7</f>
        <v>BERTINO</v>
      </c>
      <c r="Z7" s="134" t="str">
        <f>+'Lead Sheet'!BE7</f>
        <v>BEYERS</v>
      </c>
      <c r="AB7" s="133" t="s">
        <v>280</v>
      </c>
      <c r="AC7" s="134" t="s">
        <v>282</v>
      </c>
      <c r="AE7" s="229"/>
      <c r="AF7" s="230"/>
      <c r="AG7" s="9"/>
      <c r="AH7" s="229"/>
      <c r="AI7" s="230"/>
      <c r="AK7" s="22" t="s">
        <v>12</v>
      </c>
      <c r="AL7" s="23" t="s">
        <v>158</v>
      </c>
      <c r="AM7" s="23" t="s">
        <v>13</v>
      </c>
      <c r="AN7" s="24" t="s">
        <v>14</v>
      </c>
    </row>
    <row r="8" spans="1:40" s="138" customFormat="1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I8" s="133" t="str">
        <f>+'Lead Sheet'!I8</f>
        <v>Republican</v>
      </c>
      <c r="J8" s="135" t="str">
        <f>+'Lead Sheet'!J8</f>
        <v>Democrat</v>
      </c>
      <c r="K8" s="135"/>
      <c r="L8" s="135" t="str">
        <f>+'Lead Sheet'!L8</f>
        <v>Republican</v>
      </c>
      <c r="M8" s="135" t="str">
        <f>+'Lead Sheet'!M8</f>
        <v>Republican</v>
      </c>
      <c r="N8" s="135" t="str">
        <f>+'Lead Sheet'!N8</f>
        <v>Democrat</v>
      </c>
      <c r="O8" s="135" t="str">
        <f>+'Lead Sheet'!O8</f>
        <v>Democrat</v>
      </c>
      <c r="P8" s="135" t="str">
        <f>+'Lead Sheet'!P8</f>
        <v>Libertarian Party</v>
      </c>
      <c r="Q8" s="134" t="str">
        <f>+'Lead Sheet'!Q8</f>
        <v>Libertarian Party</v>
      </c>
      <c r="S8" s="133" t="str">
        <f>+'Lead Sheet'!AR8</f>
        <v>Republican</v>
      </c>
      <c r="T8" s="134" t="str">
        <f>+'Lead Sheet'!AS8</f>
        <v>Democrat</v>
      </c>
      <c r="V8" s="133" t="str">
        <f>+'Lead Sheet'!AU8</f>
        <v>Republican</v>
      </c>
      <c r="W8" s="134" t="str">
        <f>+'Lead Sheet'!AV8</f>
        <v>Democrat</v>
      </c>
      <c r="Y8" s="133" t="str">
        <f>+'Lead Sheet'!BD8</f>
        <v>Republican</v>
      </c>
      <c r="Z8" s="134" t="str">
        <f>+'Lead Sheet'!BE8</f>
        <v>Democrat</v>
      </c>
      <c r="AB8" s="133" t="s">
        <v>16</v>
      </c>
      <c r="AC8" s="134" t="s">
        <v>59</v>
      </c>
      <c r="AE8" s="229"/>
      <c r="AF8" s="230"/>
      <c r="AG8" s="9"/>
      <c r="AH8" s="229"/>
      <c r="AI8" s="230"/>
      <c r="AK8" s="22" t="s">
        <v>18</v>
      </c>
      <c r="AL8" s="23" t="s">
        <v>145</v>
      </c>
      <c r="AM8" s="23" t="s">
        <v>19</v>
      </c>
      <c r="AN8" s="24" t="s">
        <v>18</v>
      </c>
    </row>
    <row r="9" spans="1:40" x14ac:dyDescent="0.25">
      <c r="C9" s="60"/>
      <c r="D9" s="31"/>
      <c r="E9" s="31"/>
      <c r="F9" s="31"/>
      <c r="G9" s="61" t="str">
        <f>+'Lead Sheet'!G9</f>
        <v>Party</v>
      </c>
      <c r="I9" s="143"/>
      <c r="J9" s="132"/>
      <c r="K9" s="132"/>
      <c r="L9" s="132"/>
      <c r="M9" s="132"/>
      <c r="N9" s="132"/>
      <c r="O9" s="132"/>
      <c r="P9" s="132"/>
      <c r="Q9" s="144"/>
      <c r="S9" s="143"/>
      <c r="T9" s="144"/>
      <c r="V9" s="143"/>
      <c r="W9" s="144"/>
      <c r="Y9" s="143"/>
      <c r="Z9" s="144"/>
      <c r="AB9" s="143"/>
      <c r="AC9" s="144"/>
      <c r="AE9" s="27"/>
      <c r="AF9" s="28"/>
      <c r="AG9" s="9"/>
      <c r="AH9" s="27"/>
      <c r="AI9" s="28"/>
      <c r="AK9" s="119"/>
      <c r="AL9" s="118"/>
      <c r="AM9" s="118"/>
      <c r="AN9" s="120"/>
    </row>
    <row r="10" spans="1:40" ht="5.0999999999999996" customHeight="1" thickBot="1" x14ac:dyDescent="0.3">
      <c r="C10" s="29"/>
      <c r="D10" s="32"/>
      <c r="E10" s="32"/>
      <c r="F10" s="32"/>
      <c r="G10" s="30"/>
      <c r="I10" s="136"/>
      <c r="J10" s="152"/>
      <c r="K10" s="152"/>
      <c r="L10" s="152"/>
      <c r="M10" s="152"/>
      <c r="N10" s="152"/>
      <c r="O10" s="152"/>
      <c r="P10" s="152"/>
      <c r="Q10" s="137"/>
      <c r="S10" s="136"/>
      <c r="T10" s="137"/>
      <c r="V10" s="136"/>
      <c r="W10" s="137"/>
      <c r="Y10" s="136"/>
      <c r="Z10" s="137"/>
      <c r="AB10" s="136"/>
      <c r="AC10" s="137"/>
      <c r="AE10" s="36"/>
      <c r="AF10" s="38"/>
      <c r="AG10" s="9"/>
      <c r="AH10" s="36"/>
      <c r="AI10" s="38"/>
      <c r="AK10" s="33"/>
      <c r="AL10" s="34"/>
      <c r="AM10" s="34"/>
      <c r="AN10" s="35"/>
    </row>
    <row r="11" spans="1:40" x14ac:dyDescent="0.25">
      <c r="A11" t="s">
        <v>25</v>
      </c>
      <c r="C11" s="40">
        <v>164</v>
      </c>
      <c r="D11" s="40">
        <v>49</v>
      </c>
      <c r="E11" s="40">
        <v>0</v>
      </c>
      <c r="F11" s="40">
        <v>1</v>
      </c>
      <c r="G11" s="40">
        <v>0</v>
      </c>
      <c r="I11" s="59">
        <v>166</v>
      </c>
      <c r="J11" s="59">
        <v>44</v>
      </c>
      <c r="L11" s="59">
        <v>155</v>
      </c>
      <c r="M11" s="59">
        <v>157</v>
      </c>
      <c r="N11" s="59">
        <v>44</v>
      </c>
      <c r="O11" s="59">
        <v>43</v>
      </c>
      <c r="P11" s="59">
        <v>6</v>
      </c>
      <c r="Q11" s="59">
        <v>4</v>
      </c>
      <c r="S11" s="59">
        <v>157</v>
      </c>
      <c r="T11" s="59">
        <v>47</v>
      </c>
      <c r="V11" s="59">
        <v>165</v>
      </c>
      <c r="W11" s="59">
        <v>40</v>
      </c>
      <c r="Y11" s="59">
        <v>163</v>
      </c>
      <c r="Z11" s="59">
        <v>41</v>
      </c>
      <c r="AB11" s="59">
        <v>115</v>
      </c>
      <c r="AC11" s="59">
        <v>99</v>
      </c>
      <c r="AE11" s="40">
        <v>76</v>
      </c>
      <c r="AF11" s="40">
        <v>116</v>
      </c>
      <c r="AH11" s="40">
        <v>117</v>
      </c>
      <c r="AI11" s="40">
        <v>75</v>
      </c>
      <c r="AK11" s="77">
        <v>217</v>
      </c>
      <c r="AL11" s="77">
        <v>12</v>
      </c>
      <c r="AM11" s="77">
        <v>24</v>
      </c>
      <c r="AN11" s="77">
        <f>1+3</f>
        <v>4</v>
      </c>
    </row>
    <row r="12" spans="1:40" ht="15.75" thickBot="1" x14ac:dyDescent="0.3"/>
    <row r="13" spans="1:40" ht="15.75" thickBot="1" x14ac:dyDescent="0.3">
      <c r="A13" s="50" t="s">
        <v>8</v>
      </c>
      <c r="B13" s="1"/>
      <c r="C13" s="51">
        <f t="shared" ref="C13:D13" si="0">+C11</f>
        <v>164</v>
      </c>
      <c r="D13" s="51">
        <f t="shared" si="0"/>
        <v>49</v>
      </c>
      <c r="E13" s="51">
        <f>+E11</f>
        <v>0</v>
      </c>
      <c r="F13" s="51">
        <f t="shared" ref="F13:N13" si="1">+F11</f>
        <v>1</v>
      </c>
      <c r="G13" s="51">
        <f t="shared" si="1"/>
        <v>0</v>
      </c>
      <c r="I13" s="51">
        <f t="shared" si="1"/>
        <v>166</v>
      </c>
      <c r="J13" s="51">
        <f t="shared" ref="J13" si="2">+J11</f>
        <v>44</v>
      </c>
      <c r="L13" s="51">
        <f t="shared" si="1"/>
        <v>155</v>
      </c>
      <c r="M13" s="51">
        <f t="shared" ref="M13" si="3">+M11</f>
        <v>157</v>
      </c>
      <c r="N13" s="51">
        <f t="shared" si="1"/>
        <v>44</v>
      </c>
      <c r="O13" s="51">
        <f t="shared" ref="O13:AI13" si="4">+O11</f>
        <v>43</v>
      </c>
      <c r="P13" s="51">
        <f t="shared" si="4"/>
        <v>6</v>
      </c>
      <c r="Q13" s="51">
        <f t="shared" ref="Q13" si="5">+Q11</f>
        <v>4</v>
      </c>
      <c r="S13" s="51">
        <f t="shared" si="4"/>
        <v>157</v>
      </c>
      <c r="T13" s="51">
        <f t="shared" si="4"/>
        <v>47</v>
      </c>
      <c r="V13" s="51">
        <f t="shared" ref="V13:Z13" si="6">+V11</f>
        <v>165</v>
      </c>
      <c r="W13" s="51">
        <f t="shared" si="6"/>
        <v>40</v>
      </c>
      <c r="Y13" s="51">
        <f t="shared" si="6"/>
        <v>163</v>
      </c>
      <c r="Z13" s="51">
        <f t="shared" si="6"/>
        <v>41</v>
      </c>
      <c r="AB13" s="51">
        <f t="shared" si="4"/>
        <v>115</v>
      </c>
      <c r="AC13" s="51">
        <f t="shared" si="4"/>
        <v>99</v>
      </c>
      <c r="AE13" s="51">
        <f t="shared" si="4"/>
        <v>76</v>
      </c>
      <c r="AF13" s="51">
        <f t="shared" ref="AF13" si="7">+AF11</f>
        <v>116</v>
      </c>
      <c r="AH13" s="51">
        <f t="shared" si="4"/>
        <v>117</v>
      </c>
      <c r="AI13" s="51">
        <f t="shared" si="4"/>
        <v>75</v>
      </c>
      <c r="AK13" s="51">
        <f t="shared" ref="AK13:AN13" si="8">+AK11</f>
        <v>217</v>
      </c>
      <c r="AL13" s="51">
        <f t="shared" si="8"/>
        <v>12</v>
      </c>
      <c r="AM13" s="51">
        <f t="shared" si="8"/>
        <v>24</v>
      </c>
      <c r="AN13" s="51">
        <f t="shared" si="8"/>
        <v>4</v>
      </c>
    </row>
    <row r="14" spans="1:40" x14ac:dyDescent="0.25">
      <c r="A14" s="92" t="s">
        <v>146</v>
      </c>
      <c r="B14" s="1"/>
      <c r="C14" s="53">
        <v>7</v>
      </c>
      <c r="D14" s="53">
        <v>5</v>
      </c>
      <c r="E14" s="53">
        <v>0</v>
      </c>
      <c r="F14" s="53">
        <v>0</v>
      </c>
      <c r="G14" s="53">
        <v>0</v>
      </c>
      <c r="I14" s="53">
        <v>9</v>
      </c>
      <c r="J14" s="53">
        <v>3</v>
      </c>
      <c r="L14" s="53">
        <v>8</v>
      </c>
      <c r="M14" s="53">
        <v>8</v>
      </c>
      <c r="N14" s="53">
        <v>4</v>
      </c>
      <c r="O14" s="53">
        <v>4</v>
      </c>
      <c r="P14" s="53">
        <v>0</v>
      </c>
      <c r="Q14" s="53">
        <v>0</v>
      </c>
      <c r="S14" s="53">
        <v>7</v>
      </c>
      <c r="T14" s="53">
        <v>4</v>
      </c>
      <c r="V14" s="53">
        <v>9</v>
      </c>
      <c r="W14" s="53">
        <v>3</v>
      </c>
      <c r="Y14" s="53">
        <v>9</v>
      </c>
      <c r="Z14" s="53">
        <v>3</v>
      </c>
      <c r="AB14" s="53">
        <v>7</v>
      </c>
      <c r="AC14" s="53">
        <v>5</v>
      </c>
      <c r="AE14" s="53">
        <v>5</v>
      </c>
      <c r="AF14" s="53">
        <v>5</v>
      </c>
      <c r="AH14" s="53">
        <v>7</v>
      </c>
      <c r="AI14" s="53">
        <v>3</v>
      </c>
    </row>
    <row r="15" spans="1:40" x14ac:dyDescent="0.25">
      <c r="A15" s="92" t="s">
        <v>43</v>
      </c>
      <c r="B15" s="1"/>
      <c r="C15" s="41">
        <v>8</v>
      </c>
      <c r="D15" s="41">
        <v>16</v>
      </c>
      <c r="E15" s="41">
        <v>0</v>
      </c>
      <c r="F15" s="41">
        <v>0</v>
      </c>
      <c r="G15" s="41">
        <v>0</v>
      </c>
      <c r="I15" s="41">
        <v>8</v>
      </c>
      <c r="J15" s="41">
        <v>16</v>
      </c>
      <c r="L15" s="41">
        <v>8</v>
      </c>
      <c r="M15" s="41">
        <v>8</v>
      </c>
      <c r="N15" s="41">
        <v>15</v>
      </c>
      <c r="O15" s="41">
        <v>16</v>
      </c>
      <c r="P15" s="41">
        <v>0</v>
      </c>
      <c r="Q15" s="41">
        <v>0</v>
      </c>
      <c r="S15" s="41">
        <v>9</v>
      </c>
      <c r="T15" s="41">
        <v>15</v>
      </c>
      <c r="V15" s="41">
        <v>8</v>
      </c>
      <c r="W15" s="41">
        <v>16</v>
      </c>
      <c r="Y15" s="41">
        <v>8</v>
      </c>
      <c r="Z15" s="41">
        <v>16</v>
      </c>
      <c r="AB15" s="41">
        <v>12</v>
      </c>
      <c r="AC15" s="41">
        <v>11</v>
      </c>
      <c r="AE15" s="41">
        <v>11</v>
      </c>
      <c r="AF15" s="41">
        <v>12</v>
      </c>
      <c r="AH15" s="41">
        <v>15</v>
      </c>
      <c r="AI15" s="41">
        <v>8</v>
      </c>
    </row>
    <row r="16" spans="1:40" s="191" customFormat="1" x14ac:dyDescent="0.25">
      <c r="A16" s="94" t="s">
        <v>644</v>
      </c>
      <c r="B16" s="192"/>
      <c r="C16" s="95">
        <v>1</v>
      </c>
      <c r="D16" s="95">
        <v>0</v>
      </c>
      <c r="E16" s="95">
        <v>0</v>
      </c>
      <c r="F16" s="95">
        <v>0</v>
      </c>
      <c r="G16" s="95">
        <v>0</v>
      </c>
      <c r="H16" s="213" t="s">
        <v>258</v>
      </c>
      <c r="I16" s="95">
        <v>1</v>
      </c>
      <c r="J16" s="95">
        <v>0</v>
      </c>
      <c r="K16" s="213" t="s">
        <v>258</v>
      </c>
      <c r="L16" s="95">
        <v>1</v>
      </c>
      <c r="M16" s="95">
        <v>1</v>
      </c>
      <c r="N16" s="95">
        <v>0</v>
      </c>
      <c r="O16" s="95">
        <v>0</v>
      </c>
      <c r="P16" s="95">
        <v>0</v>
      </c>
      <c r="Q16" s="95">
        <v>0</v>
      </c>
      <c r="S16" s="95">
        <v>1</v>
      </c>
      <c r="T16" s="95">
        <v>0</v>
      </c>
      <c r="V16" s="95">
        <v>1</v>
      </c>
      <c r="W16" s="95">
        <v>0</v>
      </c>
      <c r="Y16" s="95">
        <v>1</v>
      </c>
      <c r="Z16" s="95">
        <v>0</v>
      </c>
      <c r="AB16" s="95">
        <v>0</v>
      </c>
      <c r="AC16" s="95">
        <v>1</v>
      </c>
      <c r="AE16" s="95">
        <v>0</v>
      </c>
      <c r="AF16" s="95">
        <v>1</v>
      </c>
      <c r="AH16" s="95">
        <v>1</v>
      </c>
      <c r="AI16" s="95">
        <v>0</v>
      </c>
    </row>
    <row r="17" spans="1:35" x14ac:dyDescent="0.25">
      <c r="A17" s="94" t="s">
        <v>645</v>
      </c>
      <c r="B17" s="1"/>
      <c r="C17" s="41">
        <v>2</v>
      </c>
      <c r="D17" s="41">
        <v>1</v>
      </c>
      <c r="E17" s="41">
        <v>0</v>
      </c>
      <c r="F17" s="41">
        <v>0</v>
      </c>
      <c r="G17" s="41">
        <v>0</v>
      </c>
      <c r="I17" s="41">
        <v>2</v>
      </c>
      <c r="J17" s="41">
        <v>1</v>
      </c>
      <c r="L17" s="41">
        <v>2</v>
      </c>
      <c r="M17" s="41">
        <v>2</v>
      </c>
      <c r="N17" s="41">
        <v>1</v>
      </c>
      <c r="O17" s="41">
        <v>1</v>
      </c>
      <c r="P17" s="41">
        <v>0</v>
      </c>
      <c r="Q17" s="41">
        <v>0</v>
      </c>
      <c r="S17" s="41">
        <v>2</v>
      </c>
      <c r="T17" s="41">
        <v>1</v>
      </c>
      <c r="V17" s="41">
        <v>2</v>
      </c>
      <c r="W17" s="41">
        <v>1</v>
      </c>
      <c r="Y17" s="41">
        <v>2</v>
      </c>
      <c r="Z17" s="41">
        <v>1</v>
      </c>
      <c r="AB17" s="41">
        <v>1</v>
      </c>
      <c r="AC17" s="41">
        <v>2</v>
      </c>
      <c r="AE17" s="41">
        <v>1</v>
      </c>
      <c r="AF17" s="41">
        <v>2</v>
      </c>
      <c r="AH17" s="41">
        <v>1</v>
      </c>
      <c r="AI17" s="41">
        <v>2</v>
      </c>
    </row>
    <row r="18" spans="1:35" s="191" customFormat="1" ht="15.75" thickBot="1" x14ac:dyDescent="0.3">
      <c r="A18" s="94" t="s">
        <v>651</v>
      </c>
      <c r="B18" s="192"/>
      <c r="C18" s="214">
        <f>1</f>
        <v>1</v>
      </c>
      <c r="D18" s="214">
        <v>0</v>
      </c>
      <c r="E18" s="214">
        <v>0</v>
      </c>
      <c r="F18" s="214">
        <v>0</v>
      </c>
      <c r="G18" s="214">
        <v>0</v>
      </c>
      <c r="I18" s="214">
        <v>1</v>
      </c>
      <c r="J18" s="214">
        <v>0</v>
      </c>
      <c r="L18" s="214">
        <v>1</v>
      </c>
      <c r="M18" s="214">
        <v>1</v>
      </c>
      <c r="N18" s="214">
        <v>0</v>
      </c>
      <c r="O18" s="214">
        <v>0</v>
      </c>
      <c r="P18" s="214">
        <v>0</v>
      </c>
      <c r="Q18" s="214">
        <v>0</v>
      </c>
      <c r="S18" s="214">
        <v>1</v>
      </c>
      <c r="T18" s="214">
        <v>0</v>
      </c>
      <c r="V18" s="214">
        <v>1</v>
      </c>
      <c r="W18" s="214">
        <v>0</v>
      </c>
      <c r="Y18" s="214">
        <v>1</v>
      </c>
      <c r="Z18" s="214">
        <v>0</v>
      </c>
      <c r="AB18" s="214">
        <v>1</v>
      </c>
      <c r="AC18" s="214">
        <v>1</v>
      </c>
      <c r="AE18" s="214">
        <v>0</v>
      </c>
      <c r="AF18" s="214">
        <v>1</v>
      </c>
      <c r="AH18" s="214">
        <v>0</v>
      </c>
      <c r="AI18" s="214">
        <v>1</v>
      </c>
    </row>
    <row r="19" spans="1:35" ht="15.75" thickBot="1" x14ac:dyDescent="0.3">
      <c r="A19" s="50" t="s">
        <v>45</v>
      </c>
      <c r="B19" s="1"/>
      <c r="C19" s="51">
        <f>+SUM(C13:C18)</f>
        <v>183</v>
      </c>
      <c r="D19" s="51">
        <f t="shared" ref="D19:G19" si="9">+SUM(D13:D18)</f>
        <v>71</v>
      </c>
      <c r="E19" s="51">
        <f t="shared" si="9"/>
        <v>0</v>
      </c>
      <c r="F19" s="51">
        <f t="shared" si="9"/>
        <v>1</v>
      </c>
      <c r="G19" s="51">
        <f t="shared" si="9"/>
        <v>0</v>
      </c>
      <c r="I19" s="51">
        <f t="shared" ref="I19:J19" si="10">+SUM(I13:I18)</f>
        <v>187</v>
      </c>
      <c r="J19" s="51">
        <f t="shared" si="10"/>
        <v>64</v>
      </c>
      <c r="L19" s="51">
        <f t="shared" ref="L19:Q19" si="11">+SUM(L13:L18)</f>
        <v>175</v>
      </c>
      <c r="M19" s="51">
        <f t="shared" si="11"/>
        <v>177</v>
      </c>
      <c r="N19" s="51">
        <f t="shared" si="11"/>
        <v>64</v>
      </c>
      <c r="O19" s="51">
        <f t="shared" si="11"/>
        <v>64</v>
      </c>
      <c r="P19" s="51">
        <f t="shared" si="11"/>
        <v>6</v>
      </c>
      <c r="Q19" s="51">
        <f t="shared" si="11"/>
        <v>4</v>
      </c>
      <c r="S19" s="51">
        <f t="shared" ref="S19:T19" si="12">+SUM(S13:S18)</f>
        <v>177</v>
      </c>
      <c r="T19" s="51">
        <f t="shared" si="12"/>
        <v>67</v>
      </c>
      <c r="V19" s="51">
        <f t="shared" ref="V19:W19" si="13">+SUM(V13:V18)</f>
        <v>186</v>
      </c>
      <c r="W19" s="51">
        <f t="shared" si="13"/>
        <v>60</v>
      </c>
      <c r="Y19" s="51">
        <f t="shared" ref="Y19:Z19" si="14">+SUM(Y13:Y18)</f>
        <v>184</v>
      </c>
      <c r="Z19" s="51">
        <f t="shared" si="14"/>
        <v>61</v>
      </c>
      <c r="AB19" s="51">
        <f t="shared" ref="AB19:AC19" si="15">+SUM(AB13:AB18)</f>
        <v>136</v>
      </c>
      <c r="AC19" s="51">
        <f t="shared" si="15"/>
        <v>119</v>
      </c>
      <c r="AE19" s="51">
        <f t="shared" ref="AE19:AF19" si="16">+SUM(AE13:AE18)</f>
        <v>93</v>
      </c>
      <c r="AF19" s="51">
        <f t="shared" si="16"/>
        <v>137</v>
      </c>
      <c r="AH19" s="51">
        <f t="shared" ref="AH19:AI19" si="17">+SUM(AH13:AH18)</f>
        <v>141</v>
      </c>
      <c r="AI19" s="51">
        <f t="shared" si="17"/>
        <v>89</v>
      </c>
    </row>
  </sheetData>
  <mergeCells count="16">
    <mergeCell ref="S3:T3"/>
    <mergeCell ref="V3:W3"/>
    <mergeCell ref="Y3:Z3"/>
    <mergeCell ref="AB3:AC3"/>
    <mergeCell ref="C2:G2"/>
    <mergeCell ref="C3:G3"/>
    <mergeCell ref="I2:Q2"/>
    <mergeCell ref="I3:J3"/>
    <mergeCell ref="L3:Q3"/>
    <mergeCell ref="AK2:AN3"/>
    <mergeCell ref="AE3:AF3"/>
    <mergeCell ref="AH3:AI3"/>
    <mergeCell ref="AE6:AE8"/>
    <mergeCell ref="AF6:AF8"/>
    <mergeCell ref="AH6:AH8"/>
    <mergeCell ref="AI6:AI8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1" manualBreakCount="1"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4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22.7109375" customWidth="1"/>
    <col min="2" max="2" width="1.7109375" customWidth="1"/>
    <col min="3" max="6" width="14" customWidth="1"/>
    <col min="7" max="7" width="15" customWidth="1"/>
    <col min="8" max="8" width="1.7109375" customWidth="1"/>
    <col min="9" max="10" width="12.7109375" customWidth="1"/>
    <col min="11" max="11" width="1.7109375" customWidth="1"/>
    <col min="12" max="15" width="12.7109375" customWidth="1"/>
    <col min="16" max="16" width="1.7109375" customWidth="1"/>
    <col min="17" max="18" width="14" customWidth="1"/>
    <col min="19" max="19" width="1.7109375" customWidth="1"/>
    <col min="20" max="21" width="14" customWidth="1"/>
    <col min="22" max="22" width="1.7109375" customWidth="1"/>
    <col min="23" max="24" width="14" customWidth="1"/>
    <col min="25" max="25" width="1.7109375" customWidth="1"/>
    <col min="26" max="29" width="14" customWidth="1"/>
    <col min="30" max="31" width="12.140625" customWidth="1"/>
    <col min="32" max="32" width="1.7109375" customWidth="1"/>
    <col min="33" max="33" width="18.7109375" customWidth="1"/>
    <col min="34" max="34" width="1.7109375" customWidth="1"/>
    <col min="35" max="38" width="12.7109375" customWidth="1"/>
    <col min="39" max="39" width="1.7109375" customWidth="1"/>
    <col min="40" max="41" width="10.7109375" customWidth="1"/>
    <col min="42" max="42" width="1.7109375" customWidth="1"/>
    <col min="43" max="44" width="10.7109375" customWidth="1"/>
    <col min="45" max="45" width="1.7109375" customWidth="1"/>
    <col min="46" max="46" width="13.42578125" customWidth="1"/>
    <col min="47" max="48" width="9.5703125" customWidth="1"/>
    <col min="49" max="60" width="13.42578125" customWidth="1"/>
  </cols>
  <sheetData>
    <row r="1" spans="1:49" x14ac:dyDescent="0.25">
      <c r="AG1" s="177" t="s">
        <v>444</v>
      </c>
    </row>
    <row r="2" spans="1:49" x14ac:dyDescent="0.25">
      <c r="C2" s="224"/>
      <c r="D2" s="225"/>
      <c r="E2" s="225"/>
      <c r="F2" s="225"/>
      <c r="G2" s="226"/>
      <c r="H2" s="132"/>
      <c r="I2" s="224" t="s">
        <v>2</v>
      </c>
      <c r="J2" s="225"/>
      <c r="K2" s="225"/>
      <c r="L2" s="225"/>
      <c r="M2" s="225"/>
      <c r="N2" s="225"/>
      <c r="O2" s="226"/>
      <c r="P2" s="132"/>
      <c r="Q2" s="80"/>
      <c r="R2" s="81"/>
      <c r="S2" s="132"/>
      <c r="T2" s="80"/>
      <c r="U2" s="81"/>
      <c r="V2" s="132"/>
      <c r="W2" s="80"/>
      <c r="X2" s="81"/>
      <c r="Y2" s="132"/>
      <c r="Z2" s="112"/>
      <c r="AA2" s="125"/>
      <c r="AB2" s="125"/>
      <c r="AC2" s="125"/>
      <c r="AD2" s="149"/>
      <c r="AE2" s="146"/>
      <c r="AF2" s="132"/>
      <c r="AG2" s="178" t="s">
        <v>311</v>
      </c>
      <c r="AH2" s="132"/>
      <c r="AI2" s="224" t="s">
        <v>148</v>
      </c>
      <c r="AJ2" s="225"/>
      <c r="AK2" s="225"/>
      <c r="AL2" s="226"/>
      <c r="AM2" s="132"/>
      <c r="AN2" s="80"/>
      <c r="AO2" s="81"/>
      <c r="AP2" s="9"/>
      <c r="AQ2" s="80"/>
      <c r="AR2" s="81"/>
      <c r="AS2" s="132"/>
      <c r="AT2" s="234" t="s">
        <v>5</v>
      </c>
      <c r="AU2" s="235"/>
      <c r="AV2" s="235"/>
      <c r="AW2" s="236"/>
    </row>
    <row r="3" spans="1:49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150"/>
      <c r="L3" s="227" t="s">
        <v>0</v>
      </c>
      <c r="M3" s="227"/>
      <c r="N3" s="227"/>
      <c r="O3" s="223"/>
      <c r="P3" s="132"/>
      <c r="Q3" s="222" t="s">
        <v>121</v>
      </c>
      <c r="R3" s="223"/>
      <c r="S3" s="132"/>
      <c r="T3" s="222" t="s">
        <v>122</v>
      </c>
      <c r="U3" s="223"/>
      <c r="V3" s="132"/>
      <c r="W3" s="222" t="s">
        <v>125</v>
      </c>
      <c r="X3" s="223"/>
      <c r="Y3" s="132"/>
      <c r="Z3" s="222" t="s">
        <v>283</v>
      </c>
      <c r="AA3" s="227"/>
      <c r="AB3" s="227"/>
      <c r="AC3" s="227"/>
      <c r="AD3" s="227"/>
      <c r="AE3" s="223"/>
      <c r="AF3" s="132"/>
      <c r="AG3" s="178" t="s">
        <v>312</v>
      </c>
      <c r="AH3" s="132"/>
      <c r="AI3" s="222" t="s">
        <v>151</v>
      </c>
      <c r="AJ3" s="227"/>
      <c r="AK3" s="227"/>
      <c r="AL3" s="223"/>
      <c r="AM3" s="132"/>
      <c r="AN3" s="222" t="s">
        <v>126</v>
      </c>
      <c r="AO3" s="223"/>
      <c r="AP3" s="9"/>
      <c r="AQ3" s="222" t="s">
        <v>127</v>
      </c>
      <c r="AR3" s="223"/>
      <c r="AS3" s="132"/>
      <c r="AT3" s="219"/>
      <c r="AU3" s="220"/>
      <c r="AV3" s="220"/>
      <c r="AW3" s="221"/>
    </row>
    <row r="4" spans="1:49" ht="5.0999999999999996" customHeight="1" thickBot="1" x14ac:dyDescent="0.3">
      <c r="C4" s="109"/>
      <c r="D4" s="110"/>
      <c r="E4" s="110"/>
      <c r="F4" s="110"/>
      <c r="G4" s="111"/>
      <c r="H4" s="132"/>
      <c r="I4" s="109"/>
      <c r="J4" s="110"/>
      <c r="K4" s="150"/>
      <c r="L4" s="68"/>
      <c r="M4" s="68"/>
      <c r="N4" s="68"/>
      <c r="O4" s="69"/>
      <c r="P4" s="132"/>
      <c r="Q4" s="82"/>
      <c r="R4" s="83"/>
      <c r="S4" s="132"/>
      <c r="T4" s="82"/>
      <c r="U4" s="83"/>
      <c r="V4" s="132"/>
      <c r="W4" s="82"/>
      <c r="X4" s="83"/>
      <c r="Y4" s="132"/>
      <c r="Z4" s="171"/>
      <c r="AA4" s="172"/>
      <c r="AB4" s="172"/>
      <c r="AC4" s="172"/>
      <c r="AD4" s="71"/>
      <c r="AE4" s="72"/>
      <c r="AF4" s="132"/>
      <c r="AG4" s="179"/>
      <c r="AH4" s="132"/>
      <c r="AI4" s="76"/>
      <c r="AJ4" s="172"/>
      <c r="AK4" s="172"/>
      <c r="AL4" s="180"/>
      <c r="AM4" s="132"/>
      <c r="AN4" s="75"/>
      <c r="AO4" s="74"/>
      <c r="AP4" s="9"/>
      <c r="AQ4" s="75"/>
      <c r="AR4" s="74"/>
      <c r="AS4" s="132"/>
      <c r="AT4" s="204"/>
      <c r="AU4" s="205"/>
      <c r="AV4" s="205"/>
      <c r="AW4" s="206"/>
    </row>
    <row r="5" spans="1:49" x14ac:dyDescent="0.25">
      <c r="C5" s="5"/>
      <c r="D5" s="8"/>
      <c r="E5" s="8"/>
      <c r="F5" s="8"/>
      <c r="G5" s="6"/>
      <c r="H5" s="132"/>
      <c r="I5" s="5"/>
      <c r="J5" s="6"/>
      <c r="K5" s="132"/>
      <c r="L5" s="89"/>
      <c r="M5" s="98"/>
      <c r="N5" s="98"/>
      <c r="O5" s="6"/>
      <c r="P5" s="132"/>
      <c r="Q5" s="5"/>
      <c r="R5" s="6"/>
      <c r="S5" s="132"/>
      <c r="T5" s="5"/>
      <c r="U5" s="6"/>
      <c r="V5" s="132"/>
      <c r="W5" s="10"/>
      <c r="X5" s="12"/>
      <c r="Y5" s="132"/>
      <c r="Z5" s="141"/>
      <c r="AA5" s="151"/>
      <c r="AB5" s="151"/>
      <c r="AC5" s="151"/>
      <c r="AD5" s="8"/>
      <c r="AE5" s="6"/>
      <c r="AF5" s="132"/>
      <c r="AG5" s="173"/>
      <c r="AH5" s="132"/>
      <c r="AI5" s="5"/>
      <c r="AJ5" s="151"/>
      <c r="AK5" s="151"/>
      <c r="AL5" s="142"/>
      <c r="AM5" s="132"/>
      <c r="AN5" s="10"/>
      <c r="AO5" s="12"/>
      <c r="AP5" s="9"/>
      <c r="AQ5" s="10"/>
      <c r="AR5" s="12"/>
      <c r="AS5" s="132"/>
      <c r="AT5" s="16"/>
      <c r="AU5" s="17"/>
      <c r="AV5" s="17"/>
      <c r="AW5" s="18"/>
    </row>
    <row r="6" spans="1:49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20" t="str">
        <f>+'Lead Sheet'!S6</f>
        <v>Vince</v>
      </c>
      <c r="J6" s="21" t="str">
        <f>+'Lead Sheet'!T6</f>
        <v>Vince</v>
      </c>
      <c r="K6" s="132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132"/>
      <c r="Q6" s="20" t="str">
        <f>+'Lead Sheet'!AR6</f>
        <v>Joseph J.</v>
      </c>
      <c r="R6" s="21" t="str">
        <f>+'Lead Sheet'!AS6</f>
        <v>Lisa</v>
      </c>
      <c r="S6" s="132"/>
      <c r="T6" s="20" t="str">
        <f>+'Lead Sheet'!AU6</f>
        <v>Frank X.</v>
      </c>
      <c r="U6" s="21" t="str">
        <f>+'Lead Sheet'!AV6</f>
        <v>Celeste</v>
      </c>
      <c r="V6" s="132"/>
      <c r="W6" s="20" t="str">
        <f>+'Lead Sheet'!BD6</f>
        <v>James</v>
      </c>
      <c r="X6" s="21" t="str">
        <f>+'Lead Sheet'!BE6</f>
        <v>Dr. William</v>
      </c>
      <c r="Y6" s="132"/>
      <c r="Z6" s="169" t="s">
        <v>290</v>
      </c>
      <c r="AA6" s="135" t="s">
        <v>292</v>
      </c>
      <c r="AB6" s="170" t="s">
        <v>294</v>
      </c>
      <c r="AC6" s="135" t="s">
        <v>296</v>
      </c>
      <c r="AD6" s="7" t="s">
        <v>298</v>
      </c>
      <c r="AE6" s="21" t="s">
        <v>300</v>
      </c>
      <c r="AF6" s="132"/>
      <c r="AG6" s="174" t="s">
        <v>636</v>
      </c>
      <c r="AH6" s="132"/>
      <c r="AI6" s="20" t="s">
        <v>302</v>
      </c>
      <c r="AJ6" s="135" t="s">
        <v>304</v>
      </c>
      <c r="AK6" s="170" t="s">
        <v>306</v>
      </c>
      <c r="AL6" s="134" t="s">
        <v>308</v>
      </c>
      <c r="AM6" s="132"/>
      <c r="AN6" s="229" t="s">
        <v>9</v>
      </c>
      <c r="AO6" s="230" t="s">
        <v>10</v>
      </c>
      <c r="AP6" s="9"/>
      <c r="AQ6" s="229" t="s">
        <v>9</v>
      </c>
      <c r="AR6" s="230" t="s">
        <v>10</v>
      </c>
      <c r="AS6" s="132"/>
      <c r="AT6" s="22" t="s">
        <v>8</v>
      </c>
      <c r="AU6" s="23" t="s">
        <v>8</v>
      </c>
      <c r="AV6" s="23" t="s">
        <v>8</v>
      </c>
      <c r="AW6" s="24" t="s">
        <v>8</v>
      </c>
    </row>
    <row r="7" spans="1:49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20" t="str">
        <f>+'Lead Sheet'!S7</f>
        <v>POLISTINA</v>
      </c>
      <c r="J7" s="21" t="str">
        <f>+'Lead Sheet'!T7</f>
        <v>MAZZEO</v>
      </c>
      <c r="K7" s="132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132"/>
      <c r="Q7" s="20" t="str">
        <f>+'Lead Sheet'!AR7</f>
        <v>GIRALO</v>
      </c>
      <c r="R7" s="21" t="str">
        <f>+'Lead Sheet'!AS7</f>
        <v>JIAMPETTI</v>
      </c>
      <c r="S7" s="132"/>
      <c r="T7" s="20" t="str">
        <f>+'Lead Sheet'!AU7</f>
        <v>BALLES</v>
      </c>
      <c r="U7" s="21" t="str">
        <f>+'Lead Sheet'!AV7</f>
        <v>FERNANDEZ</v>
      </c>
      <c r="V7" s="132"/>
      <c r="W7" s="20" t="str">
        <f>+'Lead Sheet'!BD7</f>
        <v>BERTINO</v>
      </c>
      <c r="X7" s="21" t="str">
        <f>+'Lead Sheet'!BE7</f>
        <v>BEYERS</v>
      </c>
      <c r="Y7" s="132"/>
      <c r="Z7" s="133" t="s">
        <v>291</v>
      </c>
      <c r="AA7" s="135" t="s">
        <v>293</v>
      </c>
      <c r="AB7" s="135" t="s">
        <v>295</v>
      </c>
      <c r="AC7" s="135" t="s">
        <v>297</v>
      </c>
      <c r="AD7" s="7" t="s">
        <v>299</v>
      </c>
      <c r="AE7" s="21" t="s">
        <v>301</v>
      </c>
      <c r="AF7" s="132"/>
      <c r="AG7" s="175" t="s">
        <v>637</v>
      </c>
      <c r="AH7" s="132"/>
      <c r="AI7" s="20" t="s">
        <v>303</v>
      </c>
      <c r="AJ7" s="135" t="s">
        <v>305</v>
      </c>
      <c r="AK7" s="135" t="s">
        <v>307</v>
      </c>
      <c r="AL7" s="134" t="s">
        <v>309</v>
      </c>
      <c r="AM7" s="132"/>
      <c r="AN7" s="229"/>
      <c r="AO7" s="230"/>
      <c r="AP7" s="9"/>
      <c r="AQ7" s="229"/>
      <c r="AR7" s="230"/>
      <c r="AS7" s="132"/>
      <c r="AT7" s="22" t="s">
        <v>12</v>
      </c>
      <c r="AU7" s="23" t="s">
        <v>158</v>
      </c>
      <c r="AV7" s="23" t="s">
        <v>13</v>
      </c>
      <c r="AW7" s="24" t="s">
        <v>14</v>
      </c>
    </row>
    <row r="8" spans="1:49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20" t="str">
        <f>+'Lead Sheet'!S8</f>
        <v>Republican</v>
      </c>
      <c r="J8" s="21" t="str">
        <f>+'Lead Sheet'!T8</f>
        <v>Democrat</v>
      </c>
      <c r="K8" s="132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132"/>
      <c r="Q8" s="20" t="str">
        <f>+'Lead Sheet'!AR8</f>
        <v>Republican</v>
      </c>
      <c r="R8" s="21" t="str">
        <f>+'Lead Sheet'!AS8</f>
        <v>Democrat</v>
      </c>
      <c r="S8" s="132"/>
      <c r="T8" s="20" t="str">
        <f>+'Lead Sheet'!AU8</f>
        <v>Republican</v>
      </c>
      <c r="U8" s="21" t="str">
        <f>+'Lead Sheet'!AV8</f>
        <v>Democrat</v>
      </c>
      <c r="V8" s="132"/>
      <c r="W8" s="20" t="str">
        <f>+'Lead Sheet'!BD8</f>
        <v>Republican</v>
      </c>
      <c r="X8" s="21" t="str">
        <f>+'Lead Sheet'!BE8</f>
        <v>Democrat</v>
      </c>
      <c r="Y8" s="132"/>
      <c r="Z8" s="133" t="s">
        <v>16</v>
      </c>
      <c r="AA8" s="135" t="s">
        <v>16</v>
      </c>
      <c r="AB8" s="135" t="s">
        <v>16</v>
      </c>
      <c r="AC8" s="135" t="s">
        <v>59</v>
      </c>
      <c r="AD8" s="135" t="s">
        <v>59</v>
      </c>
      <c r="AE8" s="134" t="s">
        <v>59</v>
      </c>
      <c r="AF8" s="132"/>
      <c r="AG8" s="175"/>
      <c r="AH8" s="132"/>
      <c r="AI8" s="20"/>
      <c r="AJ8" s="135"/>
      <c r="AK8" s="135"/>
      <c r="AL8" s="134"/>
      <c r="AM8" s="132"/>
      <c r="AN8" s="229"/>
      <c r="AO8" s="230"/>
      <c r="AP8" s="9"/>
      <c r="AQ8" s="229"/>
      <c r="AR8" s="230"/>
      <c r="AS8" s="132"/>
      <c r="AT8" s="22" t="s">
        <v>18</v>
      </c>
      <c r="AU8" s="23" t="s">
        <v>145</v>
      </c>
      <c r="AV8" s="23" t="s">
        <v>19</v>
      </c>
      <c r="AW8" s="24" t="s">
        <v>18</v>
      </c>
    </row>
    <row r="9" spans="1:49" x14ac:dyDescent="0.25">
      <c r="C9" s="60"/>
      <c r="D9" s="31"/>
      <c r="E9" s="31"/>
      <c r="F9" s="31"/>
      <c r="G9" s="61" t="str">
        <f>+'Lead Sheet'!G9</f>
        <v>Party</v>
      </c>
      <c r="H9" s="132"/>
      <c r="I9" s="20"/>
      <c r="J9" s="21"/>
      <c r="K9" s="132"/>
      <c r="L9" s="20"/>
      <c r="M9" s="7"/>
      <c r="N9" s="7"/>
      <c r="O9" s="21"/>
      <c r="P9" s="132"/>
      <c r="Q9" s="20"/>
      <c r="R9" s="21"/>
      <c r="S9" s="132"/>
      <c r="T9" s="20"/>
      <c r="U9" s="21"/>
      <c r="V9" s="132"/>
      <c r="W9" s="20"/>
      <c r="X9" s="21"/>
      <c r="Y9" s="132"/>
      <c r="Z9" s="133"/>
      <c r="AA9" s="135"/>
      <c r="AB9" s="135"/>
      <c r="AC9" s="135"/>
      <c r="AD9" s="7"/>
      <c r="AE9" s="21"/>
      <c r="AF9" s="132"/>
      <c r="AG9" s="175"/>
      <c r="AH9" s="132"/>
      <c r="AI9" s="20"/>
      <c r="AJ9" s="135"/>
      <c r="AK9" s="135"/>
      <c r="AL9" s="134"/>
      <c r="AM9" s="132"/>
      <c r="AN9" s="27"/>
      <c r="AO9" s="28"/>
      <c r="AP9" s="9"/>
      <c r="AQ9" s="27"/>
      <c r="AR9" s="28"/>
      <c r="AS9" s="132"/>
      <c r="AT9" s="119"/>
      <c r="AU9" s="118"/>
      <c r="AV9" s="118"/>
      <c r="AW9" s="120"/>
    </row>
    <row r="10" spans="1:49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136"/>
      <c r="X10" s="137"/>
      <c r="Z10" s="136"/>
      <c r="AA10" s="152"/>
      <c r="AB10" s="152"/>
      <c r="AC10" s="152"/>
      <c r="AD10" s="152"/>
      <c r="AE10" s="137"/>
      <c r="AG10" s="176"/>
      <c r="AI10" s="136"/>
      <c r="AJ10" s="152"/>
      <c r="AK10" s="152"/>
      <c r="AL10" s="137"/>
      <c r="AN10" s="36"/>
      <c r="AO10" s="38"/>
      <c r="AP10" s="9"/>
      <c r="AQ10" s="36"/>
      <c r="AR10" s="38"/>
      <c r="AT10" s="33"/>
      <c r="AU10" s="34"/>
      <c r="AV10" s="34"/>
      <c r="AW10" s="35"/>
    </row>
    <row r="11" spans="1:49" x14ac:dyDescent="0.25">
      <c r="A11" t="s">
        <v>284</v>
      </c>
      <c r="C11" s="40">
        <v>30</v>
      </c>
      <c r="D11" s="40">
        <v>46</v>
      </c>
      <c r="E11" s="40">
        <v>0</v>
      </c>
      <c r="F11" s="40">
        <v>1</v>
      </c>
      <c r="G11" s="40">
        <v>0</v>
      </c>
      <c r="I11" s="40">
        <v>25</v>
      </c>
      <c r="J11" s="40">
        <v>44</v>
      </c>
      <c r="L11" s="40">
        <v>25</v>
      </c>
      <c r="M11" s="40">
        <v>26</v>
      </c>
      <c r="N11" s="40">
        <v>43</v>
      </c>
      <c r="O11" s="40">
        <v>41</v>
      </c>
      <c r="Q11" s="40">
        <v>24</v>
      </c>
      <c r="R11" s="40">
        <v>48</v>
      </c>
      <c r="T11" s="40">
        <v>25</v>
      </c>
      <c r="U11" s="40">
        <v>45</v>
      </c>
      <c r="W11" s="40">
        <v>27</v>
      </c>
      <c r="X11" s="40">
        <v>41</v>
      </c>
      <c r="Z11" s="59">
        <v>26</v>
      </c>
      <c r="AA11" s="59">
        <v>28</v>
      </c>
      <c r="AB11" s="59">
        <v>28</v>
      </c>
      <c r="AC11" s="59">
        <v>39</v>
      </c>
      <c r="AD11" s="59">
        <v>40</v>
      </c>
      <c r="AE11" s="59">
        <v>42</v>
      </c>
      <c r="AG11" s="59">
        <v>0</v>
      </c>
      <c r="AI11" s="59">
        <v>26</v>
      </c>
      <c r="AJ11" s="59">
        <v>28</v>
      </c>
      <c r="AK11" s="59">
        <v>13</v>
      </c>
      <c r="AL11" s="59">
        <v>11</v>
      </c>
      <c r="AN11" s="40">
        <v>26</v>
      </c>
      <c r="AO11" s="40">
        <v>27</v>
      </c>
      <c r="AQ11" s="40">
        <v>30</v>
      </c>
      <c r="AR11" s="40">
        <v>17</v>
      </c>
      <c r="AT11" s="40">
        <v>77</v>
      </c>
      <c r="AU11" s="237">
        <v>17</v>
      </c>
      <c r="AV11" s="237">
        <v>233</v>
      </c>
      <c r="AW11" s="238">
        <v>34</v>
      </c>
    </row>
    <row r="12" spans="1:49" x14ac:dyDescent="0.25">
      <c r="A12" t="s">
        <v>285</v>
      </c>
      <c r="C12" s="40">
        <v>82</v>
      </c>
      <c r="D12" s="40">
        <v>54</v>
      </c>
      <c r="E12" s="40">
        <v>1</v>
      </c>
      <c r="F12" s="40">
        <v>0</v>
      </c>
      <c r="G12" s="40">
        <v>0</v>
      </c>
      <c r="I12" s="40">
        <v>78</v>
      </c>
      <c r="J12" s="40">
        <v>58</v>
      </c>
      <c r="L12" s="40">
        <v>78</v>
      </c>
      <c r="M12" s="40">
        <v>80</v>
      </c>
      <c r="N12" s="40">
        <v>57</v>
      </c>
      <c r="O12" s="40">
        <v>51</v>
      </c>
      <c r="Q12" s="40">
        <v>63</v>
      </c>
      <c r="R12" s="40">
        <v>72</v>
      </c>
      <c r="T12" s="40">
        <v>88</v>
      </c>
      <c r="U12" s="40">
        <v>48</v>
      </c>
      <c r="W12" s="40">
        <v>81</v>
      </c>
      <c r="X12" s="40">
        <v>52</v>
      </c>
      <c r="Z12" s="40">
        <v>85</v>
      </c>
      <c r="AA12" s="40">
        <v>83</v>
      </c>
      <c r="AB12" s="40">
        <v>80</v>
      </c>
      <c r="AC12" s="40">
        <v>50</v>
      </c>
      <c r="AD12" s="40">
        <v>48</v>
      </c>
      <c r="AE12" s="40">
        <v>50</v>
      </c>
      <c r="AG12" s="40">
        <v>1</v>
      </c>
      <c r="AI12" s="40">
        <v>39</v>
      </c>
      <c r="AJ12" s="40">
        <v>38</v>
      </c>
      <c r="AK12" s="40">
        <v>33</v>
      </c>
      <c r="AL12" s="40">
        <v>36</v>
      </c>
      <c r="AN12" s="40">
        <v>42</v>
      </c>
      <c r="AO12" s="40">
        <v>61</v>
      </c>
      <c r="AQ12" s="40">
        <v>54</v>
      </c>
      <c r="AR12" s="40">
        <v>44</v>
      </c>
      <c r="AT12" s="40">
        <v>140</v>
      </c>
      <c r="AU12" s="232"/>
      <c r="AV12" s="232"/>
      <c r="AW12" s="239"/>
    </row>
    <row r="13" spans="1:49" x14ac:dyDescent="0.25">
      <c r="A13" t="s">
        <v>286</v>
      </c>
      <c r="C13" s="40">
        <v>118</v>
      </c>
      <c r="D13" s="40">
        <v>64</v>
      </c>
      <c r="E13" s="40">
        <v>1</v>
      </c>
      <c r="F13" s="40">
        <v>0</v>
      </c>
      <c r="G13" s="40">
        <v>0</v>
      </c>
      <c r="I13" s="40">
        <v>111</v>
      </c>
      <c r="J13" s="40">
        <v>65</v>
      </c>
      <c r="L13" s="40">
        <v>106</v>
      </c>
      <c r="M13" s="40">
        <v>113</v>
      </c>
      <c r="N13" s="40">
        <v>64</v>
      </c>
      <c r="O13" s="40">
        <v>60</v>
      </c>
      <c r="Q13" s="40">
        <v>95</v>
      </c>
      <c r="R13" s="40">
        <v>90</v>
      </c>
      <c r="T13" s="40">
        <v>127</v>
      </c>
      <c r="U13" s="40">
        <v>51</v>
      </c>
      <c r="W13" s="40">
        <v>121</v>
      </c>
      <c r="X13" s="40">
        <v>53</v>
      </c>
      <c r="Z13" s="40">
        <v>120</v>
      </c>
      <c r="AA13" s="40">
        <v>120</v>
      </c>
      <c r="AB13" s="40">
        <v>129</v>
      </c>
      <c r="AC13" s="40">
        <v>52</v>
      </c>
      <c r="AD13" s="40">
        <v>56</v>
      </c>
      <c r="AE13" s="40">
        <v>47</v>
      </c>
      <c r="AG13" s="40">
        <v>7</v>
      </c>
      <c r="AI13" s="40">
        <v>53</v>
      </c>
      <c r="AJ13" s="40">
        <v>47</v>
      </c>
      <c r="AK13" s="40">
        <v>45</v>
      </c>
      <c r="AL13" s="40">
        <v>51</v>
      </c>
      <c r="AN13" s="40">
        <v>71</v>
      </c>
      <c r="AO13" s="40">
        <v>72</v>
      </c>
      <c r="AQ13" s="40">
        <v>94</v>
      </c>
      <c r="AR13" s="40">
        <v>40</v>
      </c>
      <c r="AT13" s="40">
        <v>187</v>
      </c>
      <c r="AU13" s="233"/>
      <c r="AV13" s="232"/>
      <c r="AW13" s="239"/>
    </row>
    <row r="14" spans="1:49" x14ac:dyDescent="0.25">
      <c r="A14" t="s">
        <v>287</v>
      </c>
      <c r="C14" s="40">
        <v>76</v>
      </c>
      <c r="D14" s="40">
        <v>73</v>
      </c>
      <c r="E14" s="40">
        <v>0</v>
      </c>
      <c r="F14" s="40">
        <v>1</v>
      </c>
      <c r="G14" s="40">
        <v>0</v>
      </c>
      <c r="I14" s="40">
        <v>65</v>
      </c>
      <c r="J14" s="40">
        <v>83</v>
      </c>
      <c r="L14" s="40">
        <v>73</v>
      </c>
      <c r="M14" s="40">
        <v>66</v>
      </c>
      <c r="N14" s="40">
        <v>79</v>
      </c>
      <c r="O14" s="40">
        <v>75</v>
      </c>
      <c r="Q14" s="40">
        <v>42</v>
      </c>
      <c r="R14" s="40">
        <v>109</v>
      </c>
      <c r="T14" s="40">
        <v>69</v>
      </c>
      <c r="U14" s="40">
        <v>77</v>
      </c>
      <c r="W14" s="40">
        <v>68</v>
      </c>
      <c r="X14" s="40">
        <v>74</v>
      </c>
      <c r="Z14" s="40">
        <v>71</v>
      </c>
      <c r="AA14" s="40">
        <v>66</v>
      </c>
      <c r="AB14" s="40">
        <v>68</v>
      </c>
      <c r="AC14" s="40">
        <v>75</v>
      </c>
      <c r="AD14" s="40">
        <v>89</v>
      </c>
      <c r="AE14" s="40">
        <v>75</v>
      </c>
      <c r="AG14" s="40">
        <v>3</v>
      </c>
      <c r="AI14" s="40">
        <v>52</v>
      </c>
      <c r="AJ14" s="40">
        <v>52</v>
      </c>
      <c r="AK14" s="40">
        <v>32</v>
      </c>
      <c r="AL14" s="40">
        <v>42</v>
      </c>
      <c r="AN14" s="40">
        <v>70</v>
      </c>
      <c r="AO14" s="40">
        <v>43</v>
      </c>
      <c r="AQ14" s="40">
        <v>74</v>
      </c>
      <c r="AR14" s="40">
        <v>32</v>
      </c>
      <c r="AT14" s="40">
        <v>154</v>
      </c>
      <c r="AU14" s="231">
        <v>18</v>
      </c>
      <c r="AV14" s="232"/>
      <c r="AW14" s="239"/>
    </row>
    <row r="15" spans="1:49" x14ac:dyDescent="0.25">
      <c r="A15" t="s">
        <v>288</v>
      </c>
      <c r="C15" s="40">
        <v>91</v>
      </c>
      <c r="D15" s="40">
        <v>48</v>
      </c>
      <c r="E15" s="40">
        <v>1</v>
      </c>
      <c r="F15" s="40">
        <v>0</v>
      </c>
      <c r="G15" s="40">
        <v>0</v>
      </c>
      <c r="I15" s="40">
        <v>79</v>
      </c>
      <c r="J15" s="40">
        <v>59</v>
      </c>
      <c r="L15" s="40">
        <v>70</v>
      </c>
      <c r="M15" s="40">
        <v>74</v>
      </c>
      <c r="N15" s="40">
        <v>63</v>
      </c>
      <c r="O15" s="40">
        <v>57</v>
      </c>
      <c r="Q15" s="40">
        <v>68</v>
      </c>
      <c r="R15" s="40">
        <v>72</v>
      </c>
      <c r="T15" s="40">
        <v>78</v>
      </c>
      <c r="U15" s="40">
        <v>53</v>
      </c>
      <c r="W15" s="40">
        <v>74</v>
      </c>
      <c r="X15" s="40">
        <v>56</v>
      </c>
      <c r="Z15" s="40">
        <v>80</v>
      </c>
      <c r="AA15" s="40">
        <v>71</v>
      </c>
      <c r="AB15" s="40">
        <v>71</v>
      </c>
      <c r="AC15" s="40">
        <v>48</v>
      </c>
      <c r="AD15" s="40">
        <v>65</v>
      </c>
      <c r="AE15" s="40">
        <v>54</v>
      </c>
      <c r="AG15" s="40">
        <v>2</v>
      </c>
      <c r="AI15" s="40">
        <v>54</v>
      </c>
      <c r="AJ15" s="40">
        <v>42</v>
      </c>
      <c r="AK15" s="40">
        <v>29</v>
      </c>
      <c r="AL15" s="40">
        <v>45</v>
      </c>
      <c r="AN15" s="40">
        <v>53</v>
      </c>
      <c r="AO15" s="40">
        <v>65</v>
      </c>
      <c r="AQ15" s="40">
        <v>74</v>
      </c>
      <c r="AR15" s="40">
        <v>36</v>
      </c>
      <c r="AT15" s="40">
        <v>141</v>
      </c>
      <c r="AU15" s="232"/>
      <c r="AV15" s="232"/>
      <c r="AW15" s="239"/>
    </row>
    <row r="16" spans="1:49" x14ac:dyDescent="0.25">
      <c r="A16" t="s">
        <v>289</v>
      </c>
      <c r="C16" s="40">
        <v>76</v>
      </c>
      <c r="D16" s="40">
        <v>50</v>
      </c>
      <c r="E16" s="40">
        <v>1</v>
      </c>
      <c r="F16" s="40">
        <v>0</v>
      </c>
      <c r="G16" s="40">
        <v>0</v>
      </c>
      <c r="I16" s="40">
        <v>76</v>
      </c>
      <c r="J16" s="40">
        <v>52</v>
      </c>
      <c r="L16" s="40">
        <v>75</v>
      </c>
      <c r="M16" s="40">
        <v>75</v>
      </c>
      <c r="N16" s="40">
        <v>50</v>
      </c>
      <c r="O16" s="40">
        <v>49</v>
      </c>
      <c r="Q16" s="40">
        <v>59</v>
      </c>
      <c r="R16" s="40">
        <v>68</v>
      </c>
      <c r="T16" s="40">
        <v>80</v>
      </c>
      <c r="U16" s="40">
        <v>46</v>
      </c>
      <c r="W16" s="40">
        <v>73</v>
      </c>
      <c r="X16" s="40">
        <v>49</v>
      </c>
      <c r="Z16" s="40">
        <v>72</v>
      </c>
      <c r="AA16" s="40">
        <v>76</v>
      </c>
      <c r="AB16" s="40">
        <v>75</v>
      </c>
      <c r="AC16" s="40">
        <v>48</v>
      </c>
      <c r="AD16" s="40">
        <v>45</v>
      </c>
      <c r="AE16" s="40">
        <v>47</v>
      </c>
      <c r="AG16" s="40">
        <v>7</v>
      </c>
      <c r="AI16" s="40">
        <v>36</v>
      </c>
      <c r="AJ16" s="40">
        <v>33</v>
      </c>
      <c r="AK16" s="40">
        <v>31</v>
      </c>
      <c r="AL16" s="40">
        <v>28</v>
      </c>
      <c r="AN16" s="40">
        <v>63</v>
      </c>
      <c r="AO16" s="40">
        <v>33</v>
      </c>
      <c r="AQ16" s="40">
        <v>65</v>
      </c>
      <c r="AR16" s="40">
        <v>18</v>
      </c>
      <c r="AT16" s="40">
        <v>129</v>
      </c>
      <c r="AU16" s="233"/>
      <c r="AV16" s="233"/>
      <c r="AW16" s="240"/>
    </row>
    <row r="17" spans="1:49" ht="15.75" thickBot="1" x14ac:dyDescent="0.3"/>
    <row r="18" spans="1:49" ht="15.75" thickBot="1" x14ac:dyDescent="0.3">
      <c r="A18" s="50" t="s">
        <v>8</v>
      </c>
      <c r="B18" s="1"/>
      <c r="C18" s="51">
        <f>+SUM(C11:C16)</f>
        <v>473</v>
      </c>
      <c r="D18" s="51">
        <f>+SUM(D11:D16)</f>
        <v>335</v>
      </c>
      <c r="E18" s="51">
        <f>+SUM(E11:E16)</f>
        <v>4</v>
      </c>
      <c r="F18" s="51">
        <f>+SUM(F11:F16)</f>
        <v>2</v>
      </c>
      <c r="G18" s="51">
        <f>+SUM(G11:G16)</f>
        <v>0</v>
      </c>
      <c r="I18" s="51">
        <f>+SUM(I11:I16)</f>
        <v>434</v>
      </c>
      <c r="J18" s="51">
        <f>+SUM(J11:J16)</f>
        <v>361</v>
      </c>
      <c r="L18" s="51">
        <f t="shared" ref="L18" si="0">+SUM(L11:L16)</f>
        <v>427</v>
      </c>
      <c r="M18" s="51">
        <f>+SUM(M11:M16)</f>
        <v>434</v>
      </c>
      <c r="N18" s="51">
        <f>+SUM(N11:N16)</f>
        <v>356</v>
      </c>
      <c r="O18" s="51">
        <f>+SUM(O11:O16)</f>
        <v>333</v>
      </c>
      <c r="Q18" s="51">
        <f>+SUM(Q11:Q16)</f>
        <v>351</v>
      </c>
      <c r="R18" s="51">
        <f>+SUM(R11:R16)</f>
        <v>459</v>
      </c>
      <c r="T18" s="51">
        <f t="shared" ref="T18:X18" si="1">+SUM(T11:T16)</f>
        <v>467</v>
      </c>
      <c r="U18" s="51">
        <f t="shared" si="1"/>
        <v>320</v>
      </c>
      <c r="W18" s="51">
        <f t="shared" si="1"/>
        <v>444</v>
      </c>
      <c r="X18" s="51">
        <f t="shared" si="1"/>
        <v>325</v>
      </c>
      <c r="Z18" s="51">
        <f t="shared" ref="Z18:AE18" si="2">+SUM(Z11:Z16)</f>
        <v>454</v>
      </c>
      <c r="AA18" s="51">
        <f t="shared" si="2"/>
        <v>444</v>
      </c>
      <c r="AB18" s="51">
        <f t="shared" si="2"/>
        <v>451</v>
      </c>
      <c r="AC18" s="51">
        <f t="shared" si="2"/>
        <v>312</v>
      </c>
      <c r="AD18" s="51">
        <f t="shared" si="2"/>
        <v>343</v>
      </c>
      <c r="AE18" s="51">
        <f t="shared" si="2"/>
        <v>315</v>
      </c>
      <c r="AG18" s="51">
        <f>+SUM(AG11:AG16)</f>
        <v>20</v>
      </c>
      <c r="AI18" s="51">
        <f>+SUM(AI11:AI16)</f>
        <v>260</v>
      </c>
      <c r="AJ18" s="51">
        <f>+SUM(AJ11:AJ16)</f>
        <v>240</v>
      </c>
      <c r="AK18" s="51">
        <f>+SUM(AK11:AK16)</f>
        <v>183</v>
      </c>
      <c r="AL18" s="51">
        <f>+SUM(AL11:AL16)</f>
        <v>213</v>
      </c>
      <c r="AN18" s="51">
        <f>+SUM(AN11:AN16)</f>
        <v>325</v>
      </c>
      <c r="AO18" s="51">
        <f>+SUM(AO11:AO16)</f>
        <v>301</v>
      </c>
      <c r="AQ18" s="51">
        <f>+SUM(AQ11:AQ16)</f>
        <v>391</v>
      </c>
      <c r="AR18" s="51">
        <f>+SUM(AR11:AR16)</f>
        <v>187</v>
      </c>
      <c r="AT18" s="51">
        <f t="shared" ref="AT18:AW18" si="3">+SUM(AT11:AT16)</f>
        <v>828</v>
      </c>
      <c r="AU18" s="51">
        <f t="shared" si="3"/>
        <v>35</v>
      </c>
      <c r="AV18" s="51">
        <f t="shared" si="3"/>
        <v>233</v>
      </c>
      <c r="AW18" s="51">
        <f t="shared" si="3"/>
        <v>34</v>
      </c>
    </row>
    <row r="19" spans="1:49" x14ac:dyDescent="0.25">
      <c r="A19" s="92" t="s">
        <v>146</v>
      </c>
      <c r="B19" s="1"/>
      <c r="C19" s="53">
        <f>5+7</f>
        <v>12</v>
      </c>
      <c r="D19" s="53">
        <f>12+11</f>
        <v>23</v>
      </c>
      <c r="E19" s="53">
        <v>0</v>
      </c>
      <c r="F19" s="53">
        <v>0</v>
      </c>
      <c r="G19" s="53">
        <v>0</v>
      </c>
      <c r="H19" s="138"/>
      <c r="I19" s="53">
        <f>8+7</f>
        <v>15</v>
      </c>
      <c r="J19" s="53">
        <f>7+11</f>
        <v>18</v>
      </c>
      <c r="K19" s="138"/>
      <c r="L19" s="53">
        <f>8+8</f>
        <v>16</v>
      </c>
      <c r="M19" s="53">
        <f>7+6</f>
        <v>13</v>
      </c>
      <c r="N19" s="53">
        <f>8+11</f>
        <v>19</v>
      </c>
      <c r="O19" s="53">
        <f>7+11</f>
        <v>18</v>
      </c>
      <c r="P19" s="138"/>
      <c r="Q19" s="53">
        <f>6+5</f>
        <v>11</v>
      </c>
      <c r="R19" s="53">
        <f>9+13</f>
        <v>22</v>
      </c>
      <c r="S19" s="138"/>
      <c r="T19" s="53">
        <f>7+8</f>
        <v>15</v>
      </c>
      <c r="U19" s="53">
        <f>7+10</f>
        <v>17</v>
      </c>
      <c r="V19" s="138"/>
      <c r="W19" s="53">
        <f>6+8</f>
        <v>14</v>
      </c>
      <c r="X19" s="53">
        <f>9+10</f>
        <v>19</v>
      </c>
      <c r="Y19" s="138"/>
      <c r="Z19" s="53">
        <f>7+6</f>
        <v>13</v>
      </c>
      <c r="AA19" s="53">
        <f>4+6</f>
        <v>10</v>
      </c>
      <c r="AB19" s="53">
        <f>6+5</f>
        <v>11</v>
      </c>
      <c r="AC19" s="53">
        <f>8+11</f>
        <v>19</v>
      </c>
      <c r="AD19" s="53">
        <f>10+12</f>
        <v>22</v>
      </c>
      <c r="AE19" s="53">
        <f>8+10</f>
        <v>18</v>
      </c>
      <c r="AG19" s="53">
        <v>0</v>
      </c>
      <c r="AI19" s="53">
        <f>4+11</f>
        <v>15</v>
      </c>
      <c r="AJ19" s="53">
        <f>4+8</f>
        <v>12</v>
      </c>
      <c r="AK19" s="53">
        <f>5+5</f>
        <v>10</v>
      </c>
      <c r="AL19" s="53">
        <f>5+7</f>
        <v>12</v>
      </c>
      <c r="AN19" s="53">
        <f>8+8</f>
        <v>16</v>
      </c>
      <c r="AO19" s="53">
        <f>6+8</f>
        <v>14</v>
      </c>
      <c r="AQ19" s="53">
        <f>11+11</f>
        <v>22</v>
      </c>
      <c r="AR19" s="53">
        <f>3+5</f>
        <v>8</v>
      </c>
    </row>
    <row r="20" spans="1:49" x14ac:dyDescent="0.25">
      <c r="A20" s="92" t="s">
        <v>43</v>
      </c>
      <c r="B20" s="1"/>
      <c r="C20" s="41">
        <v>88</v>
      </c>
      <c r="D20" s="41">
        <v>137</v>
      </c>
      <c r="E20" s="41">
        <v>1</v>
      </c>
      <c r="F20" s="41">
        <v>1</v>
      </c>
      <c r="G20" s="41">
        <v>0</v>
      </c>
      <c r="H20" s="138"/>
      <c r="I20" s="41">
        <v>89</v>
      </c>
      <c r="J20" s="41">
        <v>139</v>
      </c>
      <c r="K20" s="138"/>
      <c r="L20" s="41">
        <v>92</v>
      </c>
      <c r="M20" s="41">
        <v>89</v>
      </c>
      <c r="N20" s="41">
        <v>132</v>
      </c>
      <c r="O20" s="41">
        <v>134</v>
      </c>
      <c r="P20" s="138"/>
      <c r="Q20" s="41">
        <v>90</v>
      </c>
      <c r="R20" s="41">
        <v>140</v>
      </c>
      <c r="S20" s="138"/>
      <c r="T20" s="41">
        <v>93</v>
      </c>
      <c r="U20" s="41">
        <v>134</v>
      </c>
      <c r="V20" s="138"/>
      <c r="W20" s="41">
        <v>110</v>
      </c>
      <c r="X20" s="41">
        <v>114</v>
      </c>
      <c r="Y20" s="138"/>
      <c r="Z20" s="41">
        <v>62</v>
      </c>
      <c r="AA20" s="41">
        <v>57</v>
      </c>
      <c r="AB20" s="41">
        <v>58</v>
      </c>
      <c r="AC20" s="41">
        <v>158</v>
      </c>
      <c r="AD20" s="41">
        <v>171</v>
      </c>
      <c r="AE20" s="41">
        <v>165</v>
      </c>
      <c r="AG20" s="41">
        <f>2</f>
        <v>2</v>
      </c>
      <c r="AI20" s="41">
        <v>88</v>
      </c>
      <c r="AJ20" s="41">
        <v>86</v>
      </c>
      <c r="AK20" s="41">
        <v>43</v>
      </c>
      <c r="AL20" s="41">
        <v>66</v>
      </c>
      <c r="AN20" s="41">
        <v>51</v>
      </c>
      <c r="AO20" s="41">
        <v>146</v>
      </c>
      <c r="AQ20" s="41">
        <v>147</v>
      </c>
      <c r="AR20" s="41">
        <v>51</v>
      </c>
    </row>
    <row r="21" spans="1:49" s="191" customFormat="1" x14ac:dyDescent="0.25">
      <c r="A21" s="94" t="s">
        <v>644</v>
      </c>
      <c r="B21" s="192"/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 s="138"/>
      <c r="I21" s="95">
        <v>0</v>
      </c>
      <c r="J21" s="95">
        <v>0</v>
      </c>
      <c r="K21" s="138"/>
      <c r="L21" s="95">
        <v>0</v>
      </c>
      <c r="M21" s="95">
        <v>0</v>
      </c>
      <c r="N21" s="95">
        <v>0</v>
      </c>
      <c r="O21" s="95">
        <v>0</v>
      </c>
      <c r="P21" s="138"/>
      <c r="Q21" s="95">
        <v>0</v>
      </c>
      <c r="R21" s="95">
        <v>0</v>
      </c>
      <c r="S21" s="138"/>
      <c r="T21" s="95">
        <v>0</v>
      </c>
      <c r="U21" s="95">
        <v>0</v>
      </c>
      <c r="V21" s="138"/>
      <c r="W21" s="95">
        <v>0</v>
      </c>
      <c r="X21" s="95">
        <v>0</v>
      </c>
      <c r="Y21" s="138"/>
      <c r="Z21" s="95">
        <v>0</v>
      </c>
      <c r="AA21" s="95">
        <v>0</v>
      </c>
      <c r="AB21" s="95">
        <v>0</v>
      </c>
      <c r="AC21" s="95">
        <v>0</v>
      </c>
      <c r="AD21" s="95">
        <v>0</v>
      </c>
      <c r="AE21" s="95">
        <v>0</v>
      </c>
      <c r="AG21" s="95">
        <v>0</v>
      </c>
      <c r="AI21" s="95">
        <v>0</v>
      </c>
      <c r="AJ21" s="95">
        <v>0</v>
      </c>
      <c r="AK21" s="95">
        <v>0</v>
      </c>
      <c r="AL21" s="95">
        <v>0</v>
      </c>
      <c r="AN21" s="95">
        <v>0</v>
      </c>
      <c r="AO21" s="95">
        <v>0</v>
      </c>
      <c r="AQ21" s="95">
        <v>0</v>
      </c>
      <c r="AR21" s="95">
        <v>0</v>
      </c>
    </row>
    <row r="22" spans="1:49" x14ac:dyDescent="0.25">
      <c r="A22" s="94" t="s">
        <v>645</v>
      </c>
      <c r="B22" s="1"/>
      <c r="C22" s="41">
        <v>13</v>
      </c>
      <c r="D22" s="41">
        <v>17</v>
      </c>
      <c r="E22" s="41">
        <v>0</v>
      </c>
      <c r="F22" s="41">
        <v>0</v>
      </c>
      <c r="G22" s="41">
        <v>0</v>
      </c>
      <c r="H22" s="138"/>
      <c r="I22" s="41">
        <v>14</v>
      </c>
      <c r="J22" s="41">
        <v>15</v>
      </c>
      <c r="K22" s="138"/>
      <c r="L22" s="41">
        <v>13</v>
      </c>
      <c r="M22" s="41">
        <v>13</v>
      </c>
      <c r="N22" s="41">
        <v>16</v>
      </c>
      <c r="O22" s="41">
        <v>13</v>
      </c>
      <c r="P22" s="138"/>
      <c r="Q22" s="41">
        <v>11</v>
      </c>
      <c r="R22" s="41">
        <v>19</v>
      </c>
      <c r="S22" s="138"/>
      <c r="T22" s="41">
        <v>12</v>
      </c>
      <c r="U22" s="41">
        <v>18</v>
      </c>
      <c r="V22" s="138"/>
      <c r="W22" s="41">
        <v>13</v>
      </c>
      <c r="X22" s="41">
        <v>14</v>
      </c>
      <c r="Y22" s="138"/>
      <c r="Z22" s="41">
        <v>13</v>
      </c>
      <c r="AA22" s="41">
        <v>12</v>
      </c>
      <c r="AB22" s="41">
        <v>13</v>
      </c>
      <c r="AC22" s="41">
        <v>15</v>
      </c>
      <c r="AD22" s="41">
        <v>15</v>
      </c>
      <c r="AE22" s="41">
        <v>16</v>
      </c>
      <c r="AG22" s="41">
        <f>3</f>
        <v>3</v>
      </c>
      <c r="AI22" s="41">
        <v>6</v>
      </c>
      <c r="AJ22" s="41">
        <v>7</v>
      </c>
      <c r="AK22" s="41">
        <v>7</v>
      </c>
      <c r="AL22" s="41">
        <v>4</v>
      </c>
      <c r="AN22" s="41">
        <v>8</v>
      </c>
      <c r="AO22" s="41">
        <v>9</v>
      </c>
      <c r="AQ22" s="41">
        <v>9</v>
      </c>
      <c r="AR22" s="41">
        <v>7</v>
      </c>
    </row>
    <row r="23" spans="1:49" s="191" customFormat="1" ht="15.75" thickBot="1" x14ac:dyDescent="0.3">
      <c r="A23" s="94" t="s">
        <v>651</v>
      </c>
      <c r="B23" s="192"/>
      <c r="C23" s="218">
        <f>2</f>
        <v>2</v>
      </c>
      <c r="D23" s="218">
        <f>2+1</f>
        <v>3</v>
      </c>
      <c r="E23" s="218">
        <v>0</v>
      </c>
      <c r="F23" s="218">
        <v>0</v>
      </c>
      <c r="G23" s="218">
        <v>0</v>
      </c>
      <c r="H23" s="138"/>
      <c r="I23" s="214">
        <v>2</v>
      </c>
      <c r="J23" s="214">
        <f>2+1</f>
        <v>3</v>
      </c>
      <c r="K23" s="138"/>
      <c r="L23" s="214">
        <v>2</v>
      </c>
      <c r="M23" s="214">
        <f>2</f>
        <v>2</v>
      </c>
      <c r="N23" s="214">
        <f>2</f>
        <v>2</v>
      </c>
      <c r="O23" s="214">
        <f>2+1</f>
        <v>3</v>
      </c>
      <c r="P23" s="138"/>
      <c r="Q23" s="214">
        <f>2</f>
        <v>2</v>
      </c>
      <c r="R23" s="214">
        <f>2+1</f>
        <v>3</v>
      </c>
      <c r="S23" s="138"/>
      <c r="T23" s="214">
        <f>2</f>
        <v>2</v>
      </c>
      <c r="U23" s="214">
        <f>2+1</f>
        <v>3</v>
      </c>
      <c r="V23" s="138"/>
      <c r="W23" s="214">
        <f>2</f>
        <v>2</v>
      </c>
      <c r="X23" s="214">
        <f>2</f>
        <v>2</v>
      </c>
      <c r="Y23" s="138"/>
      <c r="Z23" s="214">
        <f>1</f>
        <v>1</v>
      </c>
      <c r="AA23" s="214">
        <f>2</f>
        <v>2</v>
      </c>
      <c r="AB23" s="214">
        <f>1</f>
        <v>1</v>
      </c>
      <c r="AC23" s="214">
        <f>2</f>
        <v>2</v>
      </c>
      <c r="AD23" s="214">
        <f>2</f>
        <v>2</v>
      </c>
      <c r="AE23" s="214">
        <f>2</f>
        <v>2</v>
      </c>
      <c r="AG23" s="214">
        <v>0</v>
      </c>
      <c r="AI23" s="214">
        <f>0</f>
        <v>0</v>
      </c>
      <c r="AJ23" s="214">
        <v>0</v>
      </c>
      <c r="AK23" s="214">
        <v>0</v>
      </c>
      <c r="AL23" s="214">
        <f>1</f>
        <v>1</v>
      </c>
      <c r="AN23" s="214">
        <f>1</f>
        <v>1</v>
      </c>
      <c r="AO23" s="214">
        <f>1</f>
        <v>1</v>
      </c>
      <c r="AQ23" s="214">
        <f>1</f>
        <v>1</v>
      </c>
      <c r="AR23" s="214">
        <f>1</f>
        <v>1</v>
      </c>
    </row>
    <row r="24" spans="1:49" ht="15.75" thickBot="1" x14ac:dyDescent="0.3">
      <c r="A24" s="50" t="s">
        <v>45</v>
      </c>
      <c r="B24" s="1"/>
      <c r="C24" s="51">
        <f t="shared" ref="C24:G24" si="4">+SUM(C18:C23)</f>
        <v>588</v>
      </c>
      <c r="D24" s="51">
        <f t="shared" si="4"/>
        <v>515</v>
      </c>
      <c r="E24" s="51">
        <f t="shared" si="4"/>
        <v>5</v>
      </c>
      <c r="F24" s="51">
        <f t="shared" si="4"/>
        <v>3</v>
      </c>
      <c r="G24" s="51">
        <f t="shared" si="4"/>
        <v>0</v>
      </c>
      <c r="I24" s="51">
        <f>+SUM(I18:I23)</f>
        <v>554</v>
      </c>
      <c r="J24" s="51">
        <f>+SUM(J18:J23)</f>
        <v>536</v>
      </c>
      <c r="L24" s="51">
        <f t="shared" ref="L24:O24" si="5">+SUM(L18:L23)</f>
        <v>550</v>
      </c>
      <c r="M24" s="51">
        <f t="shared" si="5"/>
        <v>551</v>
      </c>
      <c r="N24" s="51">
        <f t="shared" si="5"/>
        <v>525</v>
      </c>
      <c r="O24" s="51">
        <f t="shared" si="5"/>
        <v>501</v>
      </c>
      <c r="Q24" s="51">
        <f t="shared" ref="Q24:R24" si="6">+SUM(Q18:Q23)</f>
        <v>465</v>
      </c>
      <c r="R24" s="51">
        <f t="shared" si="6"/>
        <v>643</v>
      </c>
      <c r="T24" s="51">
        <f t="shared" ref="T24:U24" si="7">+SUM(T18:T23)</f>
        <v>589</v>
      </c>
      <c r="U24" s="51">
        <f t="shared" si="7"/>
        <v>492</v>
      </c>
      <c r="W24" s="51">
        <f t="shared" ref="W24:X24" si="8">+SUM(W18:W23)</f>
        <v>583</v>
      </c>
      <c r="X24" s="51">
        <f t="shared" si="8"/>
        <v>474</v>
      </c>
      <c r="Z24" s="51">
        <f t="shared" ref="Z24:AE24" si="9">+SUM(Z18:Z23)</f>
        <v>543</v>
      </c>
      <c r="AA24" s="51">
        <f t="shared" si="9"/>
        <v>525</v>
      </c>
      <c r="AB24" s="51">
        <f t="shared" si="9"/>
        <v>534</v>
      </c>
      <c r="AC24" s="51">
        <f t="shared" si="9"/>
        <v>506</v>
      </c>
      <c r="AD24" s="51">
        <f t="shared" si="9"/>
        <v>553</v>
      </c>
      <c r="AE24" s="51">
        <f t="shared" si="9"/>
        <v>516</v>
      </c>
      <c r="AG24" s="51">
        <f>+SUM(AG18:AG23)</f>
        <v>25</v>
      </c>
      <c r="AI24" s="51">
        <f t="shared" ref="AI24:AL24" si="10">+SUM(AI18:AI23)</f>
        <v>369</v>
      </c>
      <c r="AJ24" s="51">
        <f t="shared" si="10"/>
        <v>345</v>
      </c>
      <c r="AK24" s="51">
        <f t="shared" si="10"/>
        <v>243</v>
      </c>
      <c r="AL24" s="51">
        <f t="shared" si="10"/>
        <v>296</v>
      </c>
      <c r="AN24" s="51">
        <f t="shared" ref="AN24:AO24" si="11">+SUM(AN18:AN23)</f>
        <v>401</v>
      </c>
      <c r="AO24" s="51">
        <f t="shared" si="11"/>
        <v>471</v>
      </c>
      <c r="AQ24" s="51">
        <f t="shared" ref="AQ24:AR24" si="12">+SUM(AQ18:AQ23)</f>
        <v>570</v>
      </c>
      <c r="AR24" s="51">
        <f t="shared" si="12"/>
        <v>254</v>
      </c>
    </row>
  </sheetData>
  <mergeCells count="22">
    <mergeCell ref="C2:G2"/>
    <mergeCell ref="I2:O2"/>
    <mergeCell ref="C3:G3"/>
    <mergeCell ref="I3:J3"/>
    <mergeCell ref="L3:O3"/>
    <mergeCell ref="AN3:AO3"/>
    <mergeCell ref="AQ3:AR3"/>
    <mergeCell ref="AN6:AN8"/>
    <mergeCell ref="AO6:AO8"/>
    <mergeCell ref="AQ6:AQ8"/>
    <mergeCell ref="AR6:AR8"/>
    <mergeCell ref="Q3:R3"/>
    <mergeCell ref="T3:U3"/>
    <mergeCell ref="W3:X3"/>
    <mergeCell ref="Z3:AE3"/>
    <mergeCell ref="AI2:AL2"/>
    <mergeCell ref="AI3:AL3"/>
    <mergeCell ref="AW11:AW16"/>
    <mergeCell ref="AV11:AV16"/>
    <mergeCell ref="AU14:AU16"/>
    <mergeCell ref="AU11:AU13"/>
    <mergeCell ref="AT2:AW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zoomScale="75" zoomScaleNormal="75" workbookViewId="0">
      <pane xSplit="1" ySplit="10" topLeftCell="B11" activePane="bottomRight" state="frozen"/>
      <selection activeCell="R9" sqref="R9"/>
      <selection pane="topRight" activeCell="R9" sqref="R9"/>
      <selection pane="bottomLeft" activeCell="R9" sqref="R9"/>
      <selection pane="bottomRight" activeCell="R9" sqref="R9"/>
    </sheetView>
  </sheetViews>
  <sheetFormatPr defaultRowHeight="15" x14ac:dyDescent="0.25"/>
  <cols>
    <col min="1" max="1" width="31.140625" bestFit="1" customWidth="1"/>
    <col min="2" max="2" width="1.7109375" customWidth="1"/>
    <col min="3" max="5" width="12.7109375" customWidth="1"/>
    <col min="6" max="6" width="14.7109375" customWidth="1"/>
    <col min="7" max="7" width="15" customWidth="1"/>
    <col min="8" max="8" width="1.7109375" customWidth="1"/>
    <col min="9" max="10" width="12.7109375" customWidth="1"/>
    <col min="11" max="11" width="1.7109375" customWidth="1"/>
    <col min="12" max="15" width="12.7109375" customWidth="1"/>
    <col min="16" max="16" width="1.7109375" customWidth="1"/>
    <col min="17" max="18" width="12.7109375" customWidth="1"/>
    <col min="19" max="19" width="1.7109375" customWidth="1"/>
    <col min="20" max="21" width="14" customWidth="1"/>
    <col min="22" max="22" width="1.7109375" customWidth="1"/>
    <col min="23" max="24" width="14" customWidth="1"/>
    <col min="25" max="25" width="1.7109375" customWidth="1"/>
    <col min="26" max="27" width="14" customWidth="1"/>
    <col min="28" max="28" width="1.7109375" customWidth="1"/>
    <col min="29" max="32" width="14" customWidth="1"/>
    <col min="33" max="33" width="1.7109375" customWidth="1"/>
    <col min="34" max="37" width="11.85546875" customWidth="1"/>
    <col min="38" max="38" width="1.7109375" customWidth="1"/>
    <col min="39" max="40" width="14" customWidth="1"/>
    <col min="41" max="41" width="1.7109375" customWidth="1"/>
    <col min="42" max="43" width="9.7109375" customWidth="1"/>
    <col min="44" max="44" width="1.7109375" customWidth="1"/>
    <col min="45" max="46" width="9.7109375" customWidth="1"/>
    <col min="47" max="47" width="1.7109375" customWidth="1"/>
    <col min="48" max="48" width="11.85546875" customWidth="1"/>
    <col min="49" max="50" width="9.5703125" customWidth="1"/>
    <col min="51" max="51" width="12.140625" customWidth="1"/>
    <col min="52" max="67" width="13.42578125" customWidth="1"/>
  </cols>
  <sheetData>
    <row r="1" spans="1:51" x14ac:dyDescent="0.25">
      <c r="AM1" s="224" t="s">
        <v>357</v>
      </c>
      <c r="AN1" s="226"/>
    </row>
    <row r="2" spans="1:51" x14ac:dyDescent="0.25">
      <c r="C2" s="224"/>
      <c r="D2" s="225"/>
      <c r="E2" s="225"/>
      <c r="F2" s="225"/>
      <c r="G2" s="226"/>
      <c r="H2" s="132"/>
      <c r="I2" s="224" t="s">
        <v>2</v>
      </c>
      <c r="J2" s="225"/>
      <c r="K2" s="225"/>
      <c r="L2" s="225"/>
      <c r="M2" s="225"/>
      <c r="N2" s="225"/>
      <c r="O2" s="226"/>
      <c r="P2" s="132"/>
      <c r="Q2" s="80"/>
      <c r="R2" s="81"/>
      <c r="S2" s="132"/>
      <c r="T2" s="80"/>
      <c r="U2" s="81"/>
      <c r="V2" s="132"/>
      <c r="W2" s="112"/>
      <c r="X2" s="113"/>
      <c r="Y2" s="132"/>
      <c r="Z2" s="224" t="s">
        <v>124</v>
      </c>
      <c r="AA2" s="226"/>
      <c r="AB2" s="132"/>
      <c r="AC2" s="224"/>
      <c r="AD2" s="225"/>
      <c r="AE2" s="225"/>
      <c r="AF2" s="226"/>
      <c r="AG2" s="132"/>
      <c r="AH2" s="224" t="s">
        <v>148</v>
      </c>
      <c r="AI2" s="225"/>
      <c r="AJ2" s="225"/>
      <c r="AK2" s="226"/>
      <c r="AL2" s="132"/>
      <c r="AM2" s="222" t="s">
        <v>151</v>
      </c>
      <c r="AN2" s="223"/>
      <c r="AO2" s="132"/>
      <c r="AP2" s="80"/>
      <c r="AQ2" s="81"/>
      <c r="AR2" s="9"/>
      <c r="AS2" s="80"/>
      <c r="AT2" s="81"/>
      <c r="AV2" s="234" t="s">
        <v>5</v>
      </c>
      <c r="AW2" s="235"/>
      <c r="AX2" s="235"/>
      <c r="AY2" s="236"/>
    </row>
    <row r="3" spans="1:51" x14ac:dyDescent="0.25">
      <c r="C3" s="222" t="s">
        <v>46</v>
      </c>
      <c r="D3" s="227"/>
      <c r="E3" s="227"/>
      <c r="F3" s="227"/>
      <c r="G3" s="223"/>
      <c r="H3" s="132"/>
      <c r="I3" s="222" t="s">
        <v>88</v>
      </c>
      <c r="J3" s="227"/>
      <c r="K3" s="150"/>
      <c r="L3" s="227" t="s">
        <v>0</v>
      </c>
      <c r="M3" s="227"/>
      <c r="N3" s="227"/>
      <c r="O3" s="223"/>
      <c r="P3" s="132"/>
      <c r="Q3" s="222" t="s">
        <v>121</v>
      </c>
      <c r="R3" s="223"/>
      <c r="S3" s="132"/>
      <c r="T3" s="222" t="s">
        <v>122</v>
      </c>
      <c r="U3" s="223"/>
      <c r="V3" s="132"/>
      <c r="W3" s="222" t="s">
        <v>123</v>
      </c>
      <c r="X3" s="223"/>
      <c r="Y3" s="132"/>
      <c r="Z3" s="222" t="s">
        <v>259</v>
      </c>
      <c r="AA3" s="223"/>
      <c r="AB3" s="132"/>
      <c r="AC3" s="222" t="s">
        <v>261</v>
      </c>
      <c r="AD3" s="227"/>
      <c r="AE3" s="227"/>
      <c r="AF3" s="223"/>
      <c r="AG3" s="132"/>
      <c r="AH3" s="222" t="s">
        <v>151</v>
      </c>
      <c r="AI3" s="227"/>
      <c r="AJ3" s="227"/>
      <c r="AK3" s="223"/>
      <c r="AL3" s="132"/>
      <c r="AM3" s="222" t="s">
        <v>356</v>
      </c>
      <c r="AN3" s="223"/>
      <c r="AO3" s="132"/>
      <c r="AP3" s="222" t="s">
        <v>126</v>
      </c>
      <c r="AQ3" s="223"/>
      <c r="AR3" s="9"/>
      <c r="AS3" s="222" t="s">
        <v>127</v>
      </c>
      <c r="AT3" s="223"/>
      <c r="AV3" s="219"/>
      <c r="AW3" s="220"/>
      <c r="AX3" s="220"/>
      <c r="AY3" s="221"/>
    </row>
    <row r="4" spans="1:51" ht="5.0999999999999996" customHeight="1" thickBot="1" x14ac:dyDescent="0.3">
      <c r="C4" s="109"/>
      <c r="D4" s="110"/>
      <c r="E4" s="110"/>
      <c r="F4" s="110"/>
      <c r="G4" s="111"/>
      <c r="H4" s="132"/>
      <c r="I4" s="109"/>
      <c r="J4" s="110"/>
      <c r="K4" s="150"/>
      <c r="L4" s="68"/>
      <c r="M4" s="68"/>
      <c r="N4" s="68"/>
      <c r="O4" s="69"/>
      <c r="P4" s="132"/>
      <c r="Q4" s="82"/>
      <c r="R4" s="83"/>
      <c r="S4" s="132"/>
      <c r="T4" s="82"/>
      <c r="U4" s="83"/>
      <c r="V4" s="132"/>
      <c r="W4" s="114"/>
      <c r="X4" s="74"/>
      <c r="Y4" s="132"/>
      <c r="Z4" s="82"/>
      <c r="AA4" s="83"/>
      <c r="AB4" s="132"/>
      <c r="AC4" s="155"/>
      <c r="AD4" s="67"/>
      <c r="AE4" s="67"/>
      <c r="AF4" s="156"/>
      <c r="AG4" s="132"/>
      <c r="AH4" s="155"/>
      <c r="AI4" s="67"/>
      <c r="AJ4" s="67"/>
      <c r="AK4" s="156"/>
      <c r="AL4" s="132"/>
      <c r="AM4" s="155"/>
      <c r="AN4" s="156"/>
      <c r="AO4" s="132"/>
      <c r="AP4" s="75"/>
      <c r="AQ4" s="74"/>
      <c r="AR4" s="9"/>
      <c r="AS4" s="75"/>
      <c r="AT4" s="74"/>
      <c r="AV4" s="204"/>
      <c r="AW4" s="205"/>
      <c r="AX4" s="205"/>
      <c r="AY4" s="206"/>
    </row>
    <row r="5" spans="1:51" x14ac:dyDescent="0.25">
      <c r="C5" s="5"/>
      <c r="D5" s="8"/>
      <c r="E5" s="8"/>
      <c r="F5" s="8"/>
      <c r="G5" s="6"/>
      <c r="H5" s="132"/>
      <c r="I5" s="5"/>
      <c r="J5" s="6"/>
      <c r="K5" s="132"/>
      <c r="L5" s="89"/>
      <c r="M5" s="98"/>
      <c r="N5" s="98"/>
      <c r="O5" s="6"/>
      <c r="P5" s="132"/>
      <c r="Q5" s="5"/>
      <c r="R5" s="6"/>
      <c r="S5" s="132"/>
      <c r="T5" s="5"/>
      <c r="U5" s="6"/>
      <c r="V5" s="132"/>
      <c r="W5" s="10"/>
      <c r="X5" s="97"/>
      <c r="Y5" s="132"/>
      <c r="Z5" s="5"/>
      <c r="AA5" s="6"/>
      <c r="AB5" s="132"/>
      <c r="AC5" s="5"/>
      <c r="AD5" s="8"/>
      <c r="AE5" s="8"/>
      <c r="AF5" s="6"/>
      <c r="AG5" s="132"/>
      <c r="AH5" s="5"/>
      <c r="AI5" s="8"/>
      <c r="AJ5" s="8"/>
      <c r="AK5" s="6"/>
      <c r="AL5" s="132"/>
      <c r="AM5" s="5"/>
      <c r="AN5" s="6"/>
      <c r="AO5" s="132"/>
      <c r="AP5" s="10"/>
      <c r="AQ5" s="12"/>
      <c r="AR5" s="9"/>
      <c r="AS5" s="10"/>
      <c r="AT5" s="12"/>
      <c r="AV5" s="16"/>
      <c r="AW5" s="17"/>
      <c r="AX5" s="17"/>
      <c r="AY5" s="18"/>
    </row>
    <row r="6" spans="1:51" x14ac:dyDescent="0.25">
      <c r="C6" s="20" t="str">
        <f>+'Lead Sheet'!C6</f>
        <v>Jack</v>
      </c>
      <c r="D6" s="7" t="str">
        <f>+'Lead Sheet'!D6</f>
        <v>Philip</v>
      </c>
      <c r="E6" s="7" t="str">
        <f>+'Lead Sheet'!E6</f>
        <v>Madelyn R.</v>
      </c>
      <c r="F6" s="7" t="str">
        <f>+'Lead Sheet'!F6</f>
        <v>Gregg</v>
      </c>
      <c r="G6" s="21" t="str">
        <f>+'Lead Sheet'!G6</f>
        <v>Joanne</v>
      </c>
      <c r="H6" s="132"/>
      <c r="I6" s="20" t="str">
        <f>+'Lead Sheet'!S6</f>
        <v>Vince</v>
      </c>
      <c r="J6" s="21" t="str">
        <f>+'Lead Sheet'!T6</f>
        <v>Vince</v>
      </c>
      <c r="K6" s="132"/>
      <c r="L6" s="20" t="str">
        <f>+'Lead Sheet'!V6</f>
        <v>Don</v>
      </c>
      <c r="M6" s="7" t="str">
        <f>+'Lead Sheet'!W6</f>
        <v>Claire</v>
      </c>
      <c r="N6" s="7" t="str">
        <f>+'Lead Sheet'!X6</f>
        <v>John</v>
      </c>
      <c r="O6" s="21" t="str">
        <f>+'Lead Sheet'!Y6</f>
        <v>Caren</v>
      </c>
      <c r="P6" s="132"/>
      <c r="Q6" s="20" t="str">
        <f>+'Lead Sheet'!AR6</f>
        <v>Joseph J.</v>
      </c>
      <c r="R6" s="21" t="str">
        <f>+'Lead Sheet'!AS6</f>
        <v>Lisa</v>
      </c>
      <c r="S6" s="132"/>
      <c r="T6" s="20" t="str">
        <f>+'Lead Sheet'!AU6</f>
        <v>Frank X.</v>
      </c>
      <c r="U6" s="21" t="str">
        <f>+'Lead Sheet'!AV6</f>
        <v>Celeste</v>
      </c>
      <c r="V6" s="132"/>
      <c r="W6" s="20" t="str">
        <f>+'Lead Sheet'!AX6</f>
        <v>Maureen</v>
      </c>
      <c r="X6" s="21" t="str">
        <f>+'Lead Sheet'!AY6</f>
        <v>Jelani</v>
      </c>
      <c r="Y6" s="132"/>
      <c r="Z6" s="20" t="str">
        <f>+'Lead Sheet'!BA6</f>
        <v>Andrew</v>
      </c>
      <c r="AA6" s="21" t="str">
        <f>+'Lead Sheet'!BB6</f>
        <v>Thelma</v>
      </c>
      <c r="AB6" s="132"/>
      <c r="AC6" s="20" t="s">
        <v>336</v>
      </c>
      <c r="AD6" s="7" t="s">
        <v>338</v>
      </c>
      <c r="AE6" s="7" t="s">
        <v>340</v>
      </c>
      <c r="AF6" s="21" t="s">
        <v>342</v>
      </c>
      <c r="AG6" s="132"/>
      <c r="AH6" s="20" t="s">
        <v>344</v>
      </c>
      <c r="AI6" s="7" t="s">
        <v>346</v>
      </c>
      <c r="AJ6" s="7" t="s">
        <v>348</v>
      </c>
      <c r="AK6" s="21" t="s">
        <v>350</v>
      </c>
      <c r="AL6" s="132"/>
      <c r="AM6" s="20" t="s">
        <v>352</v>
      </c>
      <c r="AN6" s="21" t="s">
        <v>354</v>
      </c>
      <c r="AO6" s="132"/>
      <c r="AP6" s="229" t="s">
        <v>9</v>
      </c>
      <c r="AQ6" s="230" t="s">
        <v>10</v>
      </c>
      <c r="AR6" s="9"/>
      <c r="AS6" s="229" t="s">
        <v>9</v>
      </c>
      <c r="AT6" s="230" t="s">
        <v>10</v>
      </c>
      <c r="AV6" s="22" t="s">
        <v>8</v>
      </c>
      <c r="AW6" s="23" t="s">
        <v>8</v>
      </c>
      <c r="AX6" s="23" t="s">
        <v>8</v>
      </c>
      <c r="AY6" s="24" t="s">
        <v>8</v>
      </c>
    </row>
    <row r="7" spans="1:51" x14ac:dyDescent="0.25">
      <c r="C7" s="20" t="str">
        <f>+'Lead Sheet'!C7</f>
        <v>CIATTARELLI</v>
      </c>
      <c r="D7" s="7" t="str">
        <f>+'Lead Sheet'!D7</f>
        <v>MURPHY</v>
      </c>
      <c r="E7" s="7" t="str">
        <f>+'Lead Sheet'!E7</f>
        <v>HOFFMAN</v>
      </c>
      <c r="F7" s="7" t="str">
        <f>+'Lead Sheet'!F7</f>
        <v>MELE</v>
      </c>
      <c r="G7" s="21" t="str">
        <f>+'Lead Sheet'!G7</f>
        <v>KUNIANSKY</v>
      </c>
      <c r="H7" s="132"/>
      <c r="I7" s="20" t="str">
        <f>+'Lead Sheet'!S7</f>
        <v>POLISTINA</v>
      </c>
      <c r="J7" s="21" t="str">
        <f>+'Lead Sheet'!T7</f>
        <v>MAZZEO</v>
      </c>
      <c r="K7" s="132"/>
      <c r="L7" s="20" t="str">
        <f>+'Lead Sheet'!V7</f>
        <v>GUARDIAN</v>
      </c>
      <c r="M7" s="7" t="str">
        <f>+'Lead Sheet'!W7</f>
        <v>SWIFT</v>
      </c>
      <c r="N7" s="7" t="str">
        <f>+'Lead Sheet'!X7</f>
        <v>ARMATO</v>
      </c>
      <c r="O7" s="21" t="str">
        <f>+'Lead Sheet'!Y7</f>
        <v>FITZPATRICK</v>
      </c>
      <c r="P7" s="132"/>
      <c r="Q7" s="20" t="str">
        <f>+'Lead Sheet'!AR7</f>
        <v>GIRALO</v>
      </c>
      <c r="R7" s="21" t="str">
        <f>+'Lead Sheet'!AS7</f>
        <v>JIAMPETTI</v>
      </c>
      <c r="S7" s="132"/>
      <c r="T7" s="20" t="str">
        <f>+'Lead Sheet'!AU7</f>
        <v>BALLES</v>
      </c>
      <c r="U7" s="21" t="str">
        <f>+'Lead Sheet'!AV7</f>
        <v>FERNANDEZ</v>
      </c>
      <c r="V7" s="132"/>
      <c r="W7" s="20" t="str">
        <f>+'Lead Sheet'!AX7</f>
        <v>KERN</v>
      </c>
      <c r="X7" s="21" t="str">
        <f>+'Lead Sheet'!AY7</f>
        <v>GANDY</v>
      </c>
      <c r="Y7" s="132"/>
      <c r="Z7" s="20" t="str">
        <f>+'Lead Sheet'!BA7</f>
        <v>PARKER</v>
      </c>
      <c r="AA7" s="21" t="str">
        <f>+'Lead Sheet'!BB7</f>
        <v>WITHERSPOON</v>
      </c>
      <c r="AB7" s="132"/>
      <c r="AC7" s="20" t="s">
        <v>337</v>
      </c>
      <c r="AD7" s="7" t="s">
        <v>339</v>
      </c>
      <c r="AE7" s="7" t="s">
        <v>341</v>
      </c>
      <c r="AF7" s="21" t="s">
        <v>343</v>
      </c>
      <c r="AG7" s="132"/>
      <c r="AH7" s="20" t="s">
        <v>345</v>
      </c>
      <c r="AI7" s="7" t="s">
        <v>347</v>
      </c>
      <c r="AJ7" s="7" t="s">
        <v>349</v>
      </c>
      <c r="AK7" s="21" t="s">
        <v>351</v>
      </c>
      <c r="AL7" s="132"/>
      <c r="AM7" s="20" t="s">
        <v>353</v>
      </c>
      <c r="AN7" s="21" t="s">
        <v>355</v>
      </c>
      <c r="AO7" s="132"/>
      <c r="AP7" s="229"/>
      <c r="AQ7" s="230"/>
      <c r="AR7" s="9"/>
      <c r="AS7" s="229"/>
      <c r="AT7" s="230"/>
      <c r="AV7" s="22" t="s">
        <v>12</v>
      </c>
      <c r="AW7" s="23" t="s">
        <v>158</v>
      </c>
      <c r="AX7" s="23" t="s">
        <v>13</v>
      </c>
      <c r="AY7" s="24" t="s">
        <v>14</v>
      </c>
    </row>
    <row r="8" spans="1:51" x14ac:dyDescent="0.25">
      <c r="C8" s="20" t="str">
        <f>+'Lead Sheet'!C8</f>
        <v>Republican</v>
      </c>
      <c r="D8" s="7" t="str">
        <f>+'Lead Sheet'!D8</f>
        <v>Democrat</v>
      </c>
      <c r="E8" s="7" t="str">
        <f>+'Lead Sheet'!E8</f>
        <v>Green Party</v>
      </c>
      <c r="F8" s="7" t="str">
        <f>+'Lead Sheet'!F8</f>
        <v>Libertarian Party</v>
      </c>
      <c r="G8" s="21" t="str">
        <f>+'Lead Sheet'!G8</f>
        <v>Socialist Workers</v>
      </c>
      <c r="H8" s="132"/>
      <c r="I8" s="20" t="str">
        <f>+'Lead Sheet'!S8</f>
        <v>Republican</v>
      </c>
      <c r="J8" s="21" t="str">
        <f>+'Lead Sheet'!T8</f>
        <v>Democrat</v>
      </c>
      <c r="K8" s="132"/>
      <c r="L8" s="20" t="str">
        <f>+'Lead Sheet'!V8</f>
        <v>Republican</v>
      </c>
      <c r="M8" s="7" t="str">
        <f>+'Lead Sheet'!W8</f>
        <v>Republican</v>
      </c>
      <c r="N8" s="7" t="str">
        <f>+'Lead Sheet'!X8</f>
        <v>Democrat</v>
      </c>
      <c r="O8" s="21" t="str">
        <f>+'Lead Sheet'!Y8</f>
        <v>Democrat</v>
      </c>
      <c r="P8" s="132"/>
      <c r="Q8" s="20" t="str">
        <f>+'Lead Sheet'!AR8</f>
        <v>Republican</v>
      </c>
      <c r="R8" s="21" t="str">
        <f>+'Lead Sheet'!AS8</f>
        <v>Democrat</v>
      </c>
      <c r="S8" s="132"/>
      <c r="T8" s="20" t="str">
        <f>+'Lead Sheet'!AU8</f>
        <v>Republican</v>
      </c>
      <c r="U8" s="21" t="str">
        <f>+'Lead Sheet'!AV8</f>
        <v>Democrat</v>
      </c>
      <c r="V8" s="132"/>
      <c r="W8" s="20" t="str">
        <f>+'Lead Sheet'!AX8</f>
        <v>Republican</v>
      </c>
      <c r="X8" s="21" t="str">
        <f>+'Lead Sheet'!AY8</f>
        <v>Democrat</v>
      </c>
      <c r="Y8" s="132"/>
      <c r="Z8" s="20" t="str">
        <f>+'Lead Sheet'!BA8</f>
        <v>Republican</v>
      </c>
      <c r="AA8" s="21" t="str">
        <f>+'Lead Sheet'!BB8</f>
        <v>Democrat</v>
      </c>
      <c r="AB8" s="132"/>
      <c r="AC8" s="20" t="s">
        <v>16</v>
      </c>
      <c r="AD8" s="7" t="s">
        <v>16</v>
      </c>
      <c r="AE8" s="7" t="s">
        <v>59</v>
      </c>
      <c r="AF8" s="21" t="s">
        <v>59</v>
      </c>
      <c r="AG8" s="132"/>
      <c r="AH8" s="20"/>
      <c r="AI8" s="7"/>
      <c r="AJ8" s="7"/>
      <c r="AK8" s="21"/>
      <c r="AL8" s="132"/>
      <c r="AM8" s="20"/>
      <c r="AN8" s="21"/>
      <c r="AO8" s="132"/>
      <c r="AP8" s="229"/>
      <c r="AQ8" s="230"/>
      <c r="AR8" s="9"/>
      <c r="AS8" s="229"/>
      <c r="AT8" s="230"/>
      <c r="AV8" s="22" t="s">
        <v>18</v>
      </c>
      <c r="AW8" s="23" t="s">
        <v>145</v>
      </c>
      <c r="AX8" s="23" t="s">
        <v>19</v>
      </c>
      <c r="AY8" s="24" t="s">
        <v>18</v>
      </c>
    </row>
    <row r="9" spans="1:51" x14ac:dyDescent="0.25">
      <c r="C9" s="60"/>
      <c r="D9" s="31"/>
      <c r="E9" s="31"/>
      <c r="F9" s="31"/>
      <c r="G9" s="61" t="str">
        <f>+'Lead Sheet'!G9</f>
        <v>Party</v>
      </c>
      <c r="H9" s="132"/>
      <c r="I9" s="20"/>
      <c r="J9" s="21"/>
      <c r="K9" s="132"/>
      <c r="L9" s="20"/>
      <c r="M9" s="7"/>
      <c r="N9" s="7"/>
      <c r="O9" s="21"/>
      <c r="P9" s="132"/>
      <c r="Q9" s="20"/>
      <c r="R9" s="21"/>
      <c r="S9" s="132"/>
      <c r="T9" s="20"/>
      <c r="U9" s="21"/>
      <c r="V9" s="132"/>
      <c r="W9" s="20"/>
      <c r="X9" s="21"/>
      <c r="Y9" s="132"/>
      <c r="Z9" s="20"/>
      <c r="AA9" s="21"/>
      <c r="AB9" s="132"/>
      <c r="AC9" s="20"/>
      <c r="AD9" s="7"/>
      <c r="AE9" s="7"/>
      <c r="AF9" s="21"/>
      <c r="AG9" s="132"/>
      <c r="AH9" s="20"/>
      <c r="AI9" s="7"/>
      <c r="AJ9" s="7"/>
      <c r="AK9" s="21"/>
      <c r="AL9" s="132"/>
      <c r="AM9" s="20"/>
      <c r="AN9" s="21"/>
      <c r="AO9" s="132"/>
      <c r="AP9" s="27"/>
      <c r="AQ9" s="28"/>
      <c r="AR9" s="9"/>
      <c r="AS9" s="27"/>
      <c r="AT9" s="28"/>
      <c r="AV9" s="119"/>
      <c r="AW9" s="118"/>
      <c r="AX9" s="118"/>
      <c r="AY9" s="120"/>
    </row>
    <row r="10" spans="1:51" ht="5.0999999999999996" customHeight="1" thickBot="1" x14ac:dyDescent="0.3">
      <c r="C10" s="29"/>
      <c r="D10" s="32"/>
      <c r="E10" s="32"/>
      <c r="F10" s="32"/>
      <c r="G10" s="30"/>
      <c r="I10" s="33"/>
      <c r="J10" s="35"/>
      <c r="L10" s="33"/>
      <c r="M10" s="34"/>
      <c r="N10" s="34"/>
      <c r="O10" s="35"/>
      <c r="Q10" s="33"/>
      <c r="R10" s="35"/>
      <c r="T10" s="33"/>
      <c r="U10" s="35"/>
      <c r="W10" s="33"/>
      <c r="X10" s="35"/>
      <c r="Z10" s="136"/>
      <c r="AA10" s="137"/>
      <c r="AC10" s="136"/>
      <c r="AD10" s="152"/>
      <c r="AE10" s="152"/>
      <c r="AF10" s="137"/>
      <c r="AH10" s="136"/>
      <c r="AI10" s="152"/>
      <c r="AJ10" s="152"/>
      <c r="AK10" s="137"/>
      <c r="AM10" s="136"/>
      <c r="AN10" s="137"/>
      <c r="AP10" s="36"/>
      <c r="AQ10" s="38"/>
      <c r="AR10" s="9"/>
      <c r="AS10" s="36"/>
      <c r="AT10" s="38"/>
      <c r="AV10" s="33"/>
      <c r="AW10" s="34"/>
      <c r="AX10" s="34"/>
      <c r="AY10" s="35"/>
    </row>
    <row r="11" spans="1:51" x14ac:dyDescent="0.25">
      <c r="A11" t="s">
        <v>314</v>
      </c>
      <c r="C11" s="40">
        <v>358</v>
      </c>
      <c r="D11" s="40">
        <v>140</v>
      </c>
      <c r="E11" s="40">
        <v>2</v>
      </c>
      <c r="F11" s="40">
        <v>1</v>
      </c>
      <c r="G11" s="40">
        <v>0</v>
      </c>
      <c r="I11" s="40">
        <v>338</v>
      </c>
      <c r="J11" s="40">
        <v>155</v>
      </c>
      <c r="L11" s="40">
        <v>328</v>
      </c>
      <c r="M11" s="40">
        <v>350</v>
      </c>
      <c r="N11" s="40">
        <v>150</v>
      </c>
      <c r="O11" s="40">
        <v>134</v>
      </c>
      <c r="Q11" s="40">
        <v>347</v>
      </c>
      <c r="R11" s="40">
        <v>133</v>
      </c>
      <c r="T11" s="40">
        <v>362</v>
      </c>
      <c r="U11" s="40">
        <v>116</v>
      </c>
      <c r="W11" s="40">
        <v>361</v>
      </c>
      <c r="X11" s="40">
        <v>121</v>
      </c>
      <c r="Z11" s="59"/>
      <c r="AA11" s="59"/>
      <c r="AC11" s="59">
        <v>336</v>
      </c>
      <c r="AD11" s="59">
        <v>331</v>
      </c>
      <c r="AE11" s="59">
        <v>126</v>
      </c>
      <c r="AF11" s="59">
        <v>133</v>
      </c>
      <c r="AH11" s="59">
        <v>192</v>
      </c>
      <c r="AI11" s="59">
        <v>261</v>
      </c>
      <c r="AJ11" s="59">
        <v>161</v>
      </c>
      <c r="AK11" s="59">
        <v>234</v>
      </c>
      <c r="AM11" s="59">
        <v>111</v>
      </c>
      <c r="AN11" s="59">
        <v>206</v>
      </c>
      <c r="AP11" s="40">
        <v>218</v>
      </c>
      <c r="AQ11" s="40">
        <v>218</v>
      </c>
      <c r="AS11" s="40">
        <v>279</v>
      </c>
      <c r="AT11" s="40">
        <v>150</v>
      </c>
      <c r="AV11" s="121">
        <v>505</v>
      </c>
      <c r="AW11" s="41">
        <f>141</f>
        <v>141</v>
      </c>
      <c r="AX11" s="41">
        <v>237</v>
      </c>
      <c r="AY11" s="41">
        <f>8+39</f>
        <v>47</v>
      </c>
    </row>
    <row r="12" spans="1:51" x14ac:dyDescent="0.25">
      <c r="A12" t="s">
        <v>315</v>
      </c>
      <c r="C12" s="40">
        <v>370</v>
      </c>
      <c r="D12" s="40">
        <v>146</v>
      </c>
      <c r="E12" s="40">
        <v>1</v>
      </c>
      <c r="F12" s="40">
        <v>5</v>
      </c>
      <c r="G12" s="40">
        <v>0</v>
      </c>
      <c r="I12" s="40">
        <v>349</v>
      </c>
      <c r="J12" s="40">
        <v>167</v>
      </c>
      <c r="L12" s="40">
        <v>325</v>
      </c>
      <c r="M12" s="40">
        <v>338</v>
      </c>
      <c r="N12" s="40">
        <v>172</v>
      </c>
      <c r="O12" s="40">
        <v>166</v>
      </c>
      <c r="Q12" s="40">
        <v>350</v>
      </c>
      <c r="R12" s="40">
        <v>157</v>
      </c>
      <c r="T12" s="40">
        <v>380</v>
      </c>
      <c r="U12" s="40">
        <v>131</v>
      </c>
      <c r="W12" s="40"/>
      <c r="X12" s="40"/>
      <c r="Z12" s="40">
        <v>375</v>
      </c>
      <c r="AA12" s="40">
        <v>132</v>
      </c>
      <c r="AC12" s="40">
        <v>364</v>
      </c>
      <c r="AD12" s="40">
        <v>356</v>
      </c>
      <c r="AE12" s="40">
        <v>137</v>
      </c>
      <c r="AF12" s="40">
        <v>142</v>
      </c>
      <c r="AH12" s="40">
        <v>227</v>
      </c>
      <c r="AI12" s="40">
        <v>286</v>
      </c>
      <c r="AJ12" s="40">
        <v>174</v>
      </c>
      <c r="AK12" s="40">
        <v>265</v>
      </c>
      <c r="AM12" s="40">
        <v>137</v>
      </c>
      <c r="AN12" s="40">
        <v>240</v>
      </c>
      <c r="AP12" s="40">
        <v>204</v>
      </c>
      <c r="AQ12" s="40">
        <v>226</v>
      </c>
      <c r="AS12" s="40">
        <v>252</v>
      </c>
      <c r="AT12" s="40">
        <v>155</v>
      </c>
      <c r="AV12" s="121">
        <v>528</v>
      </c>
      <c r="AW12" s="41">
        <f>842</f>
        <v>842</v>
      </c>
      <c r="AX12" s="41">
        <v>2085</v>
      </c>
      <c r="AY12" s="41">
        <f>31+238</f>
        <v>269</v>
      </c>
    </row>
    <row r="13" spans="1:51" x14ac:dyDescent="0.25">
      <c r="A13" t="s">
        <v>316</v>
      </c>
      <c r="C13" s="40">
        <v>349</v>
      </c>
      <c r="D13" s="40">
        <v>183</v>
      </c>
      <c r="E13" s="40">
        <v>0</v>
      </c>
      <c r="F13" s="40">
        <v>1</v>
      </c>
      <c r="G13" s="40">
        <v>0</v>
      </c>
      <c r="I13" s="40">
        <v>327</v>
      </c>
      <c r="J13" s="40">
        <v>193</v>
      </c>
      <c r="L13" s="40">
        <v>318</v>
      </c>
      <c r="M13" s="40">
        <v>320</v>
      </c>
      <c r="N13" s="40">
        <v>188</v>
      </c>
      <c r="O13" s="40">
        <v>174</v>
      </c>
      <c r="Q13" s="40">
        <v>340</v>
      </c>
      <c r="R13" s="40">
        <v>171</v>
      </c>
      <c r="T13" s="40">
        <v>349</v>
      </c>
      <c r="U13" s="40">
        <v>158</v>
      </c>
      <c r="W13" s="40"/>
      <c r="X13" s="40"/>
      <c r="Z13" s="40">
        <v>342</v>
      </c>
      <c r="AA13" s="40">
        <v>161</v>
      </c>
      <c r="AC13" s="40">
        <v>338</v>
      </c>
      <c r="AD13" s="40">
        <v>335</v>
      </c>
      <c r="AE13" s="40">
        <v>167</v>
      </c>
      <c r="AF13" s="40">
        <v>169</v>
      </c>
      <c r="AH13" s="40">
        <v>245</v>
      </c>
      <c r="AI13" s="40">
        <v>274</v>
      </c>
      <c r="AJ13" s="40">
        <v>205</v>
      </c>
      <c r="AK13" s="40">
        <v>246</v>
      </c>
      <c r="AM13" s="40">
        <v>148</v>
      </c>
      <c r="AN13" s="40">
        <v>225</v>
      </c>
      <c r="AP13" s="40">
        <v>213</v>
      </c>
      <c r="AQ13" s="40">
        <v>215</v>
      </c>
      <c r="AS13" s="40">
        <v>270</v>
      </c>
      <c r="AT13" s="40">
        <v>136</v>
      </c>
      <c r="AV13" s="121">
        <v>536</v>
      </c>
      <c r="AW13" s="41"/>
      <c r="AX13" s="41"/>
      <c r="AY13" s="41"/>
    </row>
    <row r="14" spans="1:51" x14ac:dyDescent="0.25">
      <c r="A14" t="s">
        <v>317</v>
      </c>
      <c r="C14" s="40">
        <v>481</v>
      </c>
      <c r="D14" s="40">
        <v>149</v>
      </c>
      <c r="E14" s="40">
        <v>4</v>
      </c>
      <c r="F14" s="40">
        <v>1</v>
      </c>
      <c r="G14" s="40">
        <v>1</v>
      </c>
      <c r="I14" s="40">
        <v>458</v>
      </c>
      <c r="J14" s="40">
        <v>169</v>
      </c>
      <c r="L14" s="40">
        <v>445</v>
      </c>
      <c r="M14" s="40">
        <v>452</v>
      </c>
      <c r="N14" s="40">
        <v>176</v>
      </c>
      <c r="O14" s="40">
        <v>154</v>
      </c>
      <c r="Q14" s="40">
        <v>470</v>
      </c>
      <c r="R14" s="40">
        <v>147</v>
      </c>
      <c r="T14" s="40">
        <v>487</v>
      </c>
      <c r="U14" s="40">
        <v>123</v>
      </c>
      <c r="W14" s="40"/>
      <c r="X14" s="40"/>
      <c r="Z14" s="40">
        <v>475</v>
      </c>
      <c r="AA14" s="40">
        <v>137</v>
      </c>
      <c r="AC14" s="40">
        <v>478</v>
      </c>
      <c r="AD14" s="40">
        <v>462</v>
      </c>
      <c r="AE14" s="40">
        <v>136</v>
      </c>
      <c r="AF14" s="40">
        <v>132</v>
      </c>
      <c r="AH14" s="40">
        <v>243</v>
      </c>
      <c r="AI14" s="40">
        <v>325</v>
      </c>
      <c r="AJ14" s="40">
        <v>198</v>
      </c>
      <c r="AK14" s="40">
        <v>292</v>
      </c>
      <c r="AM14" s="40">
        <v>154</v>
      </c>
      <c r="AN14" s="40">
        <v>283</v>
      </c>
      <c r="AP14" s="40">
        <v>212</v>
      </c>
      <c r="AQ14" s="40">
        <v>303</v>
      </c>
      <c r="AS14" s="40">
        <v>301</v>
      </c>
      <c r="AT14" s="40">
        <v>189</v>
      </c>
      <c r="AV14" s="121">
        <v>639</v>
      </c>
      <c r="AW14" s="41"/>
      <c r="AX14" s="41"/>
      <c r="AY14" s="41"/>
    </row>
    <row r="15" spans="1:51" x14ac:dyDescent="0.25">
      <c r="A15" t="s">
        <v>318</v>
      </c>
      <c r="C15" s="40">
        <v>508</v>
      </c>
      <c r="D15" s="40">
        <v>247</v>
      </c>
      <c r="E15" s="40">
        <v>0</v>
      </c>
      <c r="F15" s="40">
        <v>3</v>
      </c>
      <c r="G15" s="40">
        <v>0</v>
      </c>
      <c r="I15" s="40">
        <v>493</v>
      </c>
      <c r="J15" s="40">
        <v>259</v>
      </c>
      <c r="L15" s="40">
        <v>490</v>
      </c>
      <c r="M15" s="40">
        <v>501</v>
      </c>
      <c r="N15" s="40">
        <v>241</v>
      </c>
      <c r="O15" s="40">
        <v>237</v>
      </c>
      <c r="Q15" s="40">
        <v>502</v>
      </c>
      <c r="R15" s="40">
        <v>230</v>
      </c>
      <c r="T15" s="40">
        <v>541</v>
      </c>
      <c r="U15" s="40">
        <v>193</v>
      </c>
      <c r="W15" s="40">
        <v>511</v>
      </c>
      <c r="X15" s="40">
        <v>220</v>
      </c>
      <c r="Z15" s="40"/>
      <c r="AA15" s="40"/>
      <c r="AC15" s="40">
        <v>497</v>
      </c>
      <c r="AD15" s="40">
        <v>505</v>
      </c>
      <c r="AE15" s="40">
        <v>212</v>
      </c>
      <c r="AF15" s="40">
        <v>225</v>
      </c>
      <c r="AH15" s="40">
        <v>332</v>
      </c>
      <c r="AI15" s="40">
        <v>395</v>
      </c>
      <c r="AJ15" s="40">
        <v>288</v>
      </c>
      <c r="AK15" s="40">
        <v>341</v>
      </c>
      <c r="AM15" s="40">
        <v>209</v>
      </c>
      <c r="AN15" s="40">
        <v>313</v>
      </c>
      <c r="AP15" s="40">
        <v>334</v>
      </c>
      <c r="AQ15" s="40">
        <v>325</v>
      </c>
      <c r="AS15" s="40">
        <v>442</v>
      </c>
      <c r="AT15" s="40">
        <v>213</v>
      </c>
      <c r="AV15" s="121">
        <v>763</v>
      </c>
      <c r="AW15" s="41"/>
      <c r="AX15" s="41"/>
      <c r="AY15" s="41"/>
    </row>
    <row r="16" spans="1:51" x14ac:dyDescent="0.25">
      <c r="A16" t="s">
        <v>319</v>
      </c>
      <c r="C16" s="40">
        <v>314</v>
      </c>
      <c r="D16" s="40">
        <v>178</v>
      </c>
      <c r="E16" s="40">
        <v>3</v>
      </c>
      <c r="F16" s="40">
        <v>0</v>
      </c>
      <c r="G16" s="40">
        <v>0</v>
      </c>
      <c r="I16" s="40">
        <v>312</v>
      </c>
      <c r="J16" s="40">
        <v>175</v>
      </c>
      <c r="L16" s="40">
        <v>299</v>
      </c>
      <c r="M16" s="40">
        <v>307</v>
      </c>
      <c r="N16" s="40">
        <v>179</v>
      </c>
      <c r="O16" s="40">
        <v>178</v>
      </c>
      <c r="Q16" s="40">
        <v>306</v>
      </c>
      <c r="R16" s="40">
        <v>176</v>
      </c>
      <c r="T16" s="40">
        <v>332</v>
      </c>
      <c r="U16" s="40">
        <v>149</v>
      </c>
      <c r="W16" s="40"/>
      <c r="X16" s="40"/>
      <c r="Z16" s="40">
        <v>329</v>
      </c>
      <c r="AA16" s="40">
        <v>153</v>
      </c>
      <c r="AC16" s="40">
        <v>322</v>
      </c>
      <c r="AD16" s="40">
        <v>301</v>
      </c>
      <c r="AE16" s="40">
        <v>160</v>
      </c>
      <c r="AF16" s="40">
        <v>161</v>
      </c>
      <c r="AH16" s="40">
        <v>231</v>
      </c>
      <c r="AI16" s="40">
        <v>250</v>
      </c>
      <c r="AJ16" s="40">
        <v>203</v>
      </c>
      <c r="AK16" s="40">
        <v>237</v>
      </c>
      <c r="AM16" s="40">
        <v>173</v>
      </c>
      <c r="AN16" s="40">
        <v>181</v>
      </c>
      <c r="AP16" s="40">
        <v>206</v>
      </c>
      <c r="AQ16" s="40">
        <v>197</v>
      </c>
      <c r="AS16" s="40">
        <v>265</v>
      </c>
      <c r="AT16" s="40">
        <v>121</v>
      </c>
      <c r="AV16" s="121">
        <v>499</v>
      </c>
      <c r="AW16" s="41"/>
      <c r="AX16" s="41"/>
      <c r="AY16" s="41"/>
    </row>
    <row r="17" spans="1:51" x14ac:dyDescent="0.25">
      <c r="A17" t="s">
        <v>320</v>
      </c>
      <c r="C17" s="40">
        <v>339</v>
      </c>
      <c r="D17" s="40">
        <v>182</v>
      </c>
      <c r="E17" s="40">
        <v>1</v>
      </c>
      <c r="F17" s="40">
        <v>0</v>
      </c>
      <c r="G17" s="40">
        <v>1</v>
      </c>
      <c r="I17" s="40">
        <v>329</v>
      </c>
      <c r="J17" s="40">
        <v>188</v>
      </c>
      <c r="L17" s="40">
        <v>323</v>
      </c>
      <c r="M17" s="40">
        <v>330</v>
      </c>
      <c r="N17" s="40">
        <v>186</v>
      </c>
      <c r="O17" s="40">
        <v>179</v>
      </c>
      <c r="Q17" s="40">
        <v>332</v>
      </c>
      <c r="R17" s="40">
        <v>177</v>
      </c>
      <c r="T17" s="40">
        <v>357</v>
      </c>
      <c r="U17" s="40">
        <v>155</v>
      </c>
      <c r="W17" s="40"/>
      <c r="X17" s="40"/>
      <c r="Z17" s="40">
        <v>338</v>
      </c>
      <c r="AA17" s="40">
        <v>171</v>
      </c>
      <c r="AC17" s="40">
        <v>329</v>
      </c>
      <c r="AD17" s="40">
        <v>330</v>
      </c>
      <c r="AE17" s="40">
        <v>160</v>
      </c>
      <c r="AF17" s="40">
        <v>159</v>
      </c>
      <c r="AH17" s="40">
        <v>243</v>
      </c>
      <c r="AI17" s="40">
        <v>287</v>
      </c>
      <c r="AJ17" s="40">
        <v>204</v>
      </c>
      <c r="AK17" s="40">
        <v>242</v>
      </c>
      <c r="AM17" s="40">
        <v>163</v>
      </c>
      <c r="AN17" s="40">
        <v>207</v>
      </c>
      <c r="AP17" s="40">
        <v>211</v>
      </c>
      <c r="AQ17" s="40">
        <v>203</v>
      </c>
      <c r="AS17" s="40">
        <v>237</v>
      </c>
      <c r="AT17" s="40">
        <v>137</v>
      </c>
      <c r="AV17" s="121">
        <v>523</v>
      </c>
      <c r="AW17" s="41"/>
      <c r="AX17" s="41"/>
      <c r="AY17" s="41"/>
    </row>
    <row r="18" spans="1:51" x14ac:dyDescent="0.25">
      <c r="A18" t="s">
        <v>321</v>
      </c>
      <c r="C18" s="40">
        <v>163</v>
      </c>
      <c r="D18" s="40">
        <v>176</v>
      </c>
      <c r="E18" s="40">
        <v>0</v>
      </c>
      <c r="F18" s="40">
        <v>0</v>
      </c>
      <c r="G18" s="40">
        <v>1</v>
      </c>
      <c r="I18" s="40">
        <v>144</v>
      </c>
      <c r="J18" s="40">
        <v>191</v>
      </c>
      <c r="L18" s="40">
        <v>143</v>
      </c>
      <c r="M18" s="40">
        <v>146</v>
      </c>
      <c r="N18" s="40">
        <v>188</v>
      </c>
      <c r="O18" s="40">
        <v>177</v>
      </c>
      <c r="Q18" s="40">
        <v>144</v>
      </c>
      <c r="R18" s="40">
        <v>185</v>
      </c>
      <c r="T18" s="40">
        <v>158</v>
      </c>
      <c r="U18" s="40">
        <v>172</v>
      </c>
      <c r="W18" s="40"/>
      <c r="X18" s="40"/>
      <c r="Z18" s="40">
        <v>150</v>
      </c>
      <c r="AA18" s="40">
        <v>177</v>
      </c>
      <c r="AC18" s="40">
        <v>156</v>
      </c>
      <c r="AD18" s="40">
        <v>144</v>
      </c>
      <c r="AE18" s="40">
        <v>160</v>
      </c>
      <c r="AF18" s="40">
        <v>165</v>
      </c>
      <c r="AH18" s="40">
        <v>157</v>
      </c>
      <c r="AI18" s="40">
        <v>132</v>
      </c>
      <c r="AJ18" s="40">
        <v>105</v>
      </c>
      <c r="AK18" s="40">
        <v>88</v>
      </c>
      <c r="AM18" s="40">
        <v>86</v>
      </c>
      <c r="AN18" s="40">
        <v>107</v>
      </c>
      <c r="AP18" s="40">
        <v>119</v>
      </c>
      <c r="AQ18" s="40">
        <v>114</v>
      </c>
      <c r="AS18" s="40">
        <v>148</v>
      </c>
      <c r="AT18" s="40">
        <v>62</v>
      </c>
      <c r="AV18" s="121">
        <v>345</v>
      </c>
      <c r="AW18" s="41"/>
      <c r="AX18" s="41"/>
      <c r="AY18" s="41"/>
    </row>
    <row r="19" spans="1:51" x14ac:dyDescent="0.25">
      <c r="A19" t="s">
        <v>322</v>
      </c>
      <c r="C19" s="40">
        <v>414</v>
      </c>
      <c r="D19" s="40">
        <v>238</v>
      </c>
      <c r="E19" s="40">
        <v>1</v>
      </c>
      <c r="F19" s="40">
        <v>3</v>
      </c>
      <c r="G19" s="40">
        <v>0</v>
      </c>
      <c r="I19" s="40">
        <v>382</v>
      </c>
      <c r="J19" s="40">
        <v>265</v>
      </c>
      <c r="L19" s="40">
        <v>387</v>
      </c>
      <c r="M19" s="40">
        <v>387</v>
      </c>
      <c r="N19" s="40">
        <v>240</v>
      </c>
      <c r="O19" s="40">
        <v>234</v>
      </c>
      <c r="Q19" s="40">
        <v>394</v>
      </c>
      <c r="R19" s="40">
        <v>239</v>
      </c>
      <c r="T19" s="40">
        <v>405</v>
      </c>
      <c r="U19" s="40">
        <v>226</v>
      </c>
      <c r="W19" s="40"/>
      <c r="X19" s="40"/>
      <c r="Z19" s="40">
        <v>409</v>
      </c>
      <c r="AA19" s="40">
        <v>220</v>
      </c>
      <c r="AC19" s="40">
        <v>405</v>
      </c>
      <c r="AD19" s="40">
        <v>397</v>
      </c>
      <c r="AE19" s="40">
        <v>220</v>
      </c>
      <c r="AF19" s="40">
        <v>207</v>
      </c>
      <c r="AH19" s="40">
        <v>268</v>
      </c>
      <c r="AI19" s="40">
        <v>296</v>
      </c>
      <c r="AJ19" s="40">
        <v>222</v>
      </c>
      <c r="AK19" s="40">
        <v>225</v>
      </c>
      <c r="AM19" s="40">
        <v>191</v>
      </c>
      <c r="AN19" s="40">
        <v>227</v>
      </c>
      <c r="AP19" s="40">
        <v>275</v>
      </c>
      <c r="AQ19" s="40">
        <v>241</v>
      </c>
      <c r="AS19" s="40">
        <v>323</v>
      </c>
      <c r="AT19" s="40">
        <v>164</v>
      </c>
      <c r="AV19" s="121">
        <v>659</v>
      </c>
      <c r="AW19" s="41"/>
      <c r="AX19" s="41"/>
      <c r="AY19" s="41"/>
    </row>
    <row r="20" spans="1:51" x14ac:dyDescent="0.25">
      <c r="A20" t="s">
        <v>323</v>
      </c>
      <c r="C20" s="40">
        <v>247</v>
      </c>
      <c r="D20" s="40">
        <v>210</v>
      </c>
      <c r="E20" s="40">
        <v>1</v>
      </c>
      <c r="F20" s="40">
        <v>0</v>
      </c>
      <c r="G20" s="40">
        <v>0</v>
      </c>
      <c r="I20" s="40">
        <v>232</v>
      </c>
      <c r="J20" s="40">
        <v>215</v>
      </c>
      <c r="L20" s="40">
        <v>224</v>
      </c>
      <c r="M20" s="40">
        <v>230</v>
      </c>
      <c r="N20" s="40">
        <v>217</v>
      </c>
      <c r="O20" s="40">
        <v>200</v>
      </c>
      <c r="Q20" s="40">
        <v>239</v>
      </c>
      <c r="R20" s="40">
        <v>201</v>
      </c>
      <c r="T20" s="40">
        <v>257</v>
      </c>
      <c r="U20" s="40">
        <v>179</v>
      </c>
      <c r="W20" s="40"/>
      <c r="X20" s="40"/>
      <c r="Z20" s="40">
        <v>245</v>
      </c>
      <c r="AA20" s="40">
        <v>188</v>
      </c>
      <c r="AC20" s="40">
        <v>238</v>
      </c>
      <c r="AD20" s="40">
        <v>238</v>
      </c>
      <c r="AE20" s="40">
        <v>195</v>
      </c>
      <c r="AF20" s="40">
        <v>184</v>
      </c>
      <c r="AH20" s="40">
        <v>201</v>
      </c>
      <c r="AI20" s="40">
        <v>201</v>
      </c>
      <c r="AJ20" s="40">
        <v>166</v>
      </c>
      <c r="AK20" s="40">
        <v>169</v>
      </c>
      <c r="AM20" s="40">
        <v>127</v>
      </c>
      <c r="AN20" s="40">
        <v>157</v>
      </c>
      <c r="AP20" s="40">
        <v>190</v>
      </c>
      <c r="AQ20" s="40">
        <v>139</v>
      </c>
      <c r="AS20" s="40">
        <v>199</v>
      </c>
      <c r="AT20" s="40">
        <v>108</v>
      </c>
      <c r="AV20" s="121">
        <v>463</v>
      </c>
      <c r="AW20" s="41"/>
      <c r="AX20" s="41"/>
      <c r="AY20" s="41"/>
    </row>
    <row r="21" spans="1:51" x14ac:dyDescent="0.25">
      <c r="A21" t="s">
        <v>324</v>
      </c>
      <c r="C21" s="40">
        <v>297</v>
      </c>
      <c r="D21" s="40">
        <v>225</v>
      </c>
      <c r="E21" s="40">
        <v>2</v>
      </c>
      <c r="F21" s="40">
        <v>1</v>
      </c>
      <c r="G21" s="40">
        <v>0</v>
      </c>
      <c r="I21" s="40">
        <v>294</v>
      </c>
      <c r="J21" s="40">
        <v>221</v>
      </c>
      <c r="L21" s="40">
        <v>284</v>
      </c>
      <c r="M21" s="40">
        <v>286</v>
      </c>
      <c r="N21" s="40">
        <v>216</v>
      </c>
      <c r="O21" s="40">
        <v>212</v>
      </c>
      <c r="Q21" s="40">
        <v>300</v>
      </c>
      <c r="R21" s="40">
        <v>209</v>
      </c>
      <c r="T21" s="40">
        <v>300</v>
      </c>
      <c r="U21" s="40">
        <v>206</v>
      </c>
      <c r="W21" s="40"/>
      <c r="X21" s="40"/>
      <c r="Z21" s="40">
        <v>302</v>
      </c>
      <c r="AA21" s="40">
        <v>200</v>
      </c>
      <c r="AC21" s="40">
        <v>317</v>
      </c>
      <c r="AD21" s="40">
        <v>292</v>
      </c>
      <c r="AE21" s="40">
        <v>183</v>
      </c>
      <c r="AF21" s="40">
        <v>186</v>
      </c>
      <c r="AH21" s="40">
        <v>196</v>
      </c>
      <c r="AI21" s="40">
        <v>255</v>
      </c>
      <c r="AJ21" s="40">
        <v>182</v>
      </c>
      <c r="AK21" s="40">
        <v>182</v>
      </c>
      <c r="AM21" s="40">
        <v>138</v>
      </c>
      <c r="AN21" s="40">
        <v>182</v>
      </c>
      <c r="AP21" s="40">
        <v>233</v>
      </c>
      <c r="AQ21" s="40">
        <v>179</v>
      </c>
      <c r="AS21" s="40">
        <v>252</v>
      </c>
      <c r="AT21" s="40">
        <v>121</v>
      </c>
      <c r="AV21" s="121">
        <v>530</v>
      </c>
      <c r="AW21" s="41"/>
      <c r="AX21" s="41"/>
      <c r="AY21" s="41"/>
    </row>
    <row r="22" spans="1:51" x14ac:dyDescent="0.25">
      <c r="A22" t="s">
        <v>325</v>
      </c>
      <c r="C22" s="40">
        <v>100</v>
      </c>
      <c r="D22" s="40">
        <v>122</v>
      </c>
      <c r="E22" s="40">
        <v>1</v>
      </c>
      <c r="F22" s="40">
        <v>2</v>
      </c>
      <c r="G22" s="40">
        <v>1</v>
      </c>
      <c r="I22" s="40">
        <v>93</v>
      </c>
      <c r="J22" s="40">
        <v>127</v>
      </c>
      <c r="L22" s="40">
        <v>88</v>
      </c>
      <c r="M22" s="40">
        <v>96</v>
      </c>
      <c r="N22" s="40">
        <v>122</v>
      </c>
      <c r="O22" s="40">
        <v>119</v>
      </c>
      <c r="Q22" s="40">
        <v>98</v>
      </c>
      <c r="R22" s="40">
        <v>120</v>
      </c>
      <c r="T22" s="40">
        <v>99</v>
      </c>
      <c r="U22" s="40">
        <v>118</v>
      </c>
      <c r="W22" s="40"/>
      <c r="X22" s="40"/>
      <c r="Z22" s="40">
        <v>100</v>
      </c>
      <c r="AA22" s="40">
        <v>118</v>
      </c>
      <c r="AC22" s="40">
        <v>111</v>
      </c>
      <c r="AD22" s="40">
        <v>108</v>
      </c>
      <c r="AE22" s="40">
        <v>98</v>
      </c>
      <c r="AF22" s="40">
        <v>104</v>
      </c>
      <c r="AH22" s="40">
        <v>116</v>
      </c>
      <c r="AI22" s="40">
        <v>107</v>
      </c>
      <c r="AJ22" s="40">
        <v>98</v>
      </c>
      <c r="AK22" s="40">
        <v>75</v>
      </c>
      <c r="AM22" s="40">
        <v>76</v>
      </c>
      <c r="AN22" s="40">
        <v>83</v>
      </c>
      <c r="AP22" s="40">
        <v>97</v>
      </c>
      <c r="AQ22" s="40">
        <v>75</v>
      </c>
      <c r="AS22" s="40">
        <v>119</v>
      </c>
      <c r="AT22" s="40">
        <v>44</v>
      </c>
      <c r="AV22" s="121">
        <v>233</v>
      </c>
      <c r="AW22" s="41"/>
      <c r="AX22" s="41"/>
      <c r="AY22" s="41"/>
    </row>
    <row r="23" spans="1:51" x14ac:dyDescent="0.25">
      <c r="A23" t="s">
        <v>326</v>
      </c>
      <c r="C23" s="40">
        <v>60</v>
      </c>
      <c r="D23" s="40">
        <v>69</v>
      </c>
      <c r="E23" s="40">
        <v>2</v>
      </c>
      <c r="F23" s="40">
        <v>0</v>
      </c>
      <c r="G23" s="40">
        <v>0</v>
      </c>
      <c r="I23" s="40">
        <v>61</v>
      </c>
      <c r="J23" s="40">
        <v>67</v>
      </c>
      <c r="L23" s="40">
        <v>58</v>
      </c>
      <c r="M23" s="40">
        <v>62</v>
      </c>
      <c r="N23" s="40">
        <v>68</v>
      </c>
      <c r="O23" s="40">
        <v>61</v>
      </c>
      <c r="Q23" s="40">
        <v>64</v>
      </c>
      <c r="R23" s="40">
        <v>63</v>
      </c>
      <c r="T23" s="40">
        <v>63</v>
      </c>
      <c r="U23" s="40">
        <v>63</v>
      </c>
      <c r="W23" s="40"/>
      <c r="X23" s="40"/>
      <c r="Z23" s="40"/>
      <c r="AA23" s="40"/>
      <c r="AC23" s="40">
        <v>54</v>
      </c>
      <c r="AD23" s="40">
        <v>58</v>
      </c>
      <c r="AE23" s="40">
        <v>65</v>
      </c>
      <c r="AF23" s="40">
        <v>61</v>
      </c>
      <c r="AH23" s="40">
        <v>49</v>
      </c>
      <c r="AI23" s="40">
        <v>45</v>
      </c>
      <c r="AJ23" s="40">
        <v>57</v>
      </c>
      <c r="AK23" s="40">
        <v>30</v>
      </c>
      <c r="AM23" s="40">
        <v>33</v>
      </c>
      <c r="AN23" s="40">
        <v>38</v>
      </c>
      <c r="AP23" s="40">
        <v>43</v>
      </c>
      <c r="AQ23" s="40">
        <v>50</v>
      </c>
      <c r="AS23" s="40">
        <v>53</v>
      </c>
      <c r="AT23" s="40">
        <v>25</v>
      </c>
      <c r="AV23" s="121">
        <v>132</v>
      </c>
      <c r="AW23" s="41">
        <f>10</f>
        <v>10</v>
      </c>
      <c r="AX23" s="41">
        <v>57</v>
      </c>
      <c r="AY23" s="41">
        <f>1+3</f>
        <v>4</v>
      </c>
    </row>
    <row r="24" spans="1:51" x14ac:dyDescent="0.25">
      <c r="A24" t="s">
        <v>327</v>
      </c>
      <c r="C24" s="40">
        <v>52</v>
      </c>
      <c r="D24" s="40">
        <v>109</v>
      </c>
      <c r="E24" s="40">
        <v>0</v>
      </c>
      <c r="F24" s="40">
        <v>0</v>
      </c>
      <c r="G24" s="40">
        <v>0</v>
      </c>
      <c r="I24" s="40">
        <v>47</v>
      </c>
      <c r="J24" s="40">
        <v>107</v>
      </c>
      <c r="L24" s="40">
        <v>46</v>
      </c>
      <c r="M24" s="40">
        <v>49</v>
      </c>
      <c r="N24" s="40">
        <v>104</v>
      </c>
      <c r="O24" s="40">
        <v>102</v>
      </c>
      <c r="Q24" s="40">
        <v>50</v>
      </c>
      <c r="R24" s="40">
        <v>100</v>
      </c>
      <c r="T24" s="40">
        <v>60</v>
      </c>
      <c r="U24" s="40">
        <v>94</v>
      </c>
      <c r="W24" s="40"/>
      <c r="X24" s="40"/>
      <c r="Z24" s="40">
        <v>53</v>
      </c>
      <c r="AA24" s="40">
        <v>99</v>
      </c>
      <c r="AC24" s="40">
        <v>56</v>
      </c>
      <c r="AD24" s="40">
        <v>49</v>
      </c>
      <c r="AE24" s="40">
        <v>88</v>
      </c>
      <c r="AF24" s="40">
        <v>93</v>
      </c>
      <c r="AH24" s="40">
        <v>95</v>
      </c>
      <c r="AI24" s="40">
        <v>74</v>
      </c>
      <c r="AJ24" s="40">
        <v>70</v>
      </c>
      <c r="AK24" s="40">
        <v>37</v>
      </c>
      <c r="AM24" s="40">
        <v>54</v>
      </c>
      <c r="AN24" s="40">
        <v>53</v>
      </c>
      <c r="AP24" s="40">
        <v>77</v>
      </c>
      <c r="AQ24" s="40">
        <v>44</v>
      </c>
      <c r="AS24" s="40">
        <v>82</v>
      </c>
      <c r="AT24" s="40">
        <v>24</v>
      </c>
      <c r="AV24" s="121">
        <v>164</v>
      </c>
      <c r="AW24" s="41"/>
      <c r="AX24" s="41"/>
      <c r="AY24" s="41"/>
    </row>
    <row r="25" spans="1:51" x14ac:dyDescent="0.25">
      <c r="A25" t="s">
        <v>328</v>
      </c>
      <c r="C25" s="40">
        <v>132</v>
      </c>
      <c r="D25" s="40">
        <v>142</v>
      </c>
      <c r="E25" s="40">
        <v>2</v>
      </c>
      <c r="F25" s="40">
        <v>0</v>
      </c>
      <c r="G25" s="40">
        <v>0</v>
      </c>
      <c r="I25" s="40">
        <v>129</v>
      </c>
      <c r="J25" s="40">
        <v>148</v>
      </c>
      <c r="L25" s="40">
        <v>123</v>
      </c>
      <c r="M25" s="40">
        <v>127</v>
      </c>
      <c r="N25" s="40">
        <v>141</v>
      </c>
      <c r="O25" s="40">
        <v>140</v>
      </c>
      <c r="Q25" s="40">
        <v>128</v>
      </c>
      <c r="R25" s="40">
        <v>138</v>
      </c>
      <c r="T25" s="40">
        <v>131</v>
      </c>
      <c r="U25" s="40">
        <v>135</v>
      </c>
      <c r="W25" s="40"/>
      <c r="X25" s="40"/>
      <c r="Z25" s="40">
        <v>138</v>
      </c>
      <c r="AA25" s="40">
        <v>129</v>
      </c>
      <c r="AC25" s="40">
        <v>124</v>
      </c>
      <c r="AD25" s="40">
        <v>128</v>
      </c>
      <c r="AE25" s="40">
        <v>125</v>
      </c>
      <c r="AF25" s="40">
        <v>92</v>
      </c>
      <c r="AH25" s="40">
        <v>115</v>
      </c>
      <c r="AI25" s="40">
        <v>97</v>
      </c>
      <c r="AJ25" s="40">
        <v>96</v>
      </c>
      <c r="AK25" s="40">
        <v>89</v>
      </c>
      <c r="AM25" s="40">
        <v>76</v>
      </c>
      <c r="AN25" s="40">
        <v>77</v>
      </c>
      <c r="AP25" s="40">
        <v>99</v>
      </c>
      <c r="AQ25" s="40">
        <v>97</v>
      </c>
      <c r="AS25" s="40">
        <v>115</v>
      </c>
      <c r="AT25" s="40">
        <v>67</v>
      </c>
      <c r="AV25" s="121">
        <v>282</v>
      </c>
      <c r="AW25" s="41"/>
      <c r="AX25" s="41"/>
      <c r="AY25" s="41"/>
    </row>
    <row r="26" spans="1:51" x14ac:dyDescent="0.25">
      <c r="A26" t="s">
        <v>329</v>
      </c>
      <c r="C26" s="40">
        <v>160</v>
      </c>
      <c r="D26" s="40">
        <v>152</v>
      </c>
      <c r="E26" s="40">
        <v>1</v>
      </c>
      <c r="F26" s="40">
        <v>1</v>
      </c>
      <c r="G26" s="40">
        <v>0</v>
      </c>
      <c r="I26" s="40">
        <v>142</v>
      </c>
      <c r="J26" s="40">
        <v>167</v>
      </c>
      <c r="L26" s="40">
        <v>142</v>
      </c>
      <c r="M26" s="40">
        <v>147</v>
      </c>
      <c r="N26" s="40">
        <v>153</v>
      </c>
      <c r="O26" s="40">
        <v>150</v>
      </c>
      <c r="Q26" s="40">
        <v>144</v>
      </c>
      <c r="R26" s="40">
        <v>160</v>
      </c>
      <c r="T26" s="40">
        <v>164</v>
      </c>
      <c r="U26" s="40">
        <v>139</v>
      </c>
      <c r="W26" s="40"/>
      <c r="X26" s="40"/>
      <c r="Z26" s="40">
        <v>160</v>
      </c>
      <c r="AA26" s="40">
        <v>147</v>
      </c>
      <c r="AC26" s="40">
        <v>154</v>
      </c>
      <c r="AD26" s="40">
        <v>144</v>
      </c>
      <c r="AE26" s="40">
        <v>138</v>
      </c>
      <c r="AF26" s="40">
        <v>138</v>
      </c>
      <c r="AH26" s="40">
        <v>130</v>
      </c>
      <c r="AI26" s="40">
        <v>138</v>
      </c>
      <c r="AJ26" s="40">
        <v>130</v>
      </c>
      <c r="AK26" s="40">
        <v>107</v>
      </c>
      <c r="AM26" s="40">
        <v>100</v>
      </c>
      <c r="AN26" s="40">
        <v>93</v>
      </c>
      <c r="AP26" s="40">
        <v>109</v>
      </c>
      <c r="AQ26" s="40">
        <v>114</v>
      </c>
      <c r="AS26" s="40">
        <v>125</v>
      </c>
      <c r="AT26" s="40">
        <v>75</v>
      </c>
      <c r="AV26" s="121">
        <v>316</v>
      </c>
      <c r="AW26" s="41"/>
      <c r="AX26" s="41"/>
      <c r="AY26" s="41"/>
    </row>
    <row r="27" spans="1:51" x14ac:dyDescent="0.25">
      <c r="A27" t="s">
        <v>330</v>
      </c>
      <c r="C27" s="40">
        <v>472</v>
      </c>
      <c r="D27" s="40">
        <v>246</v>
      </c>
      <c r="E27" s="40">
        <v>0</v>
      </c>
      <c r="F27" s="40">
        <v>0</v>
      </c>
      <c r="G27" s="40">
        <v>0</v>
      </c>
      <c r="I27" s="40">
        <v>454</v>
      </c>
      <c r="J27" s="40">
        <v>252</v>
      </c>
      <c r="L27" s="40">
        <v>428</v>
      </c>
      <c r="M27" s="40">
        <v>445</v>
      </c>
      <c r="N27" s="40">
        <v>258</v>
      </c>
      <c r="O27" s="40">
        <v>243</v>
      </c>
      <c r="Q27" s="40">
        <v>454</v>
      </c>
      <c r="R27" s="40">
        <v>235</v>
      </c>
      <c r="T27" s="40">
        <v>494</v>
      </c>
      <c r="U27" s="40">
        <v>201</v>
      </c>
      <c r="W27" s="40"/>
      <c r="X27" s="40"/>
      <c r="Z27" s="40">
        <v>481</v>
      </c>
      <c r="AA27" s="40">
        <v>204</v>
      </c>
      <c r="AC27" s="40">
        <v>472</v>
      </c>
      <c r="AD27" s="40">
        <v>452</v>
      </c>
      <c r="AE27" s="40">
        <v>204</v>
      </c>
      <c r="AF27" s="40">
        <v>207</v>
      </c>
      <c r="AH27" s="40">
        <v>270</v>
      </c>
      <c r="AI27" s="40">
        <v>361</v>
      </c>
      <c r="AJ27" s="40">
        <v>267</v>
      </c>
      <c r="AK27" s="40">
        <v>300</v>
      </c>
      <c r="AM27" s="40">
        <v>197</v>
      </c>
      <c r="AN27" s="40">
        <v>273</v>
      </c>
      <c r="AP27" s="40">
        <v>319</v>
      </c>
      <c r="AQ27" s="40">
        <v>240</v>
      </c>
      <c r="AS27" s="40">
        <v>384</v>
      </c>
      <c r="AT27" s="40">
        <v>140</v>
      </c>
      <c r="AV27" s="121">
        <v>721</v>
      </c>
      <c r="AW27" s="41"/>
      <c r="AX27" s="41"/>
      <c r="AY27" s="41"/>
    </row>
    <row r="28" spans="1:51" x14ac:dyDescent="0.25">
      <c r="A28" t="s">
        <v>331</v>
      </c>
      <c r="C28" s="40">
        <v>393</v>
      </c>
      <c r="D28" s="40">
        <v>136</v>
      </c>
      <c r="E28" s="40">
        <v>1</v>
      </c>
      <c r="F28" s="40">
        <v>1</v>
      </c>
      <c r="G28" s="40">
        <v>0</v>
      </c>
      <c r="I28" s="40">
        <v>376</v>
      </c>
      <c r="J28" s="40">
        <v>147</v>
      </c>
      <c r="L28" s="40">
        <v>372</v>
      </c>
      <c r="M28" s="40">
        <v>380</v>
      </c>
      <c r="N28" s="40">
        <v>139</v>
      </c>
      <c r="O28" s="40">
        <v>127</v>
      </c>
      <c r="Q28" s="40">
        <v>384</v>
      </c>
      <c r="R28" s="40">
        <v>127</v>
      </c>
      <c r="T28" s="40">
        <v>404</v>
      </c>
      <c r="U28" s="40">
        <v>111</v>
      </c>
      <c r="W28" s="40"/>
      <c r="X28" s="40"/>
      <c r="Z28" s="40">
        <v>397</v>
      </c>
      <c r="AA28" s="40">
        <v>115</v>
      </c>
      <c r="AC28" s="40">
        <v>385</v>
      </c>
      <c r="AD28" s="40">
        <v>387</v>
      </c>
      <c r="AE28" s="40">
        <v>115</v>
      </c>
      <c r="AF28" s="40">
        <v>111</v>
      </c>
      <c r="AH28" s="40">
        <v>220</v>
      </c>
      <c r="AI28" s="40">
        <v>282</v>
      </c>
      <c r="AJ28" s="40">
        <v>199</v>
      </c>
      <c r="AK28" s="40">
        <v>251</v>
      </c>
      <c r="AM28" s="40">
        <v>117</v>
      </c>
      <c r="AN28" s="40">
        <v>251</v>
      </c>
      <c r="AP28" s="40">
        <v>205</v>
      </c>
      <c r="AQ28" s="40">
        <v>199</v>
      </c>
      <c r="AS28" s="40">
        <v>253</v>
      </c>
      <c r="AT28" s="40">
        <v>129</v>
      </c>
      <c r="AV28" s="121">
        <v>532</v>
      </c>
      <c r="AW28" s="41"/>
      <c r="AX28" s="41"/>
      <c r="AY28" s="41"/>
    </row>
    <row r="29" spans="1:51" x14ac:dyDescent="0.25">
      <c r="A29" t="s">
        <v>332</v>
      </c>
      <c r="C29" s="40">
        <v>410</v>
      </c>
      <c r="D29" s="40">
        <v>236</v>
      </c>
      <c r="E29" s="40">
        <v>1</v>
      </c>
      <c r="F29" s="40">
        <v>4</v>
      </c>
      <c r="G29" s="40">
        <v>0</v>
      </c>
      <c r="I29" s="40">
        <v>393</v>
      </c>
      <c r="J29" s="40">
        <v>243</v>
      </c>
      <c r="L29" s="40">
        <v>389</v>
      </c>
      <c r="M29" s="40">
        <v>391</v>
      </c>
      <c r="N29" s="40">
        <v>235</v>
      </c>
      <c r="O29" s="40">
        <v>232</v>
      </c>
      <c r="Q29" s="40">
        <v>396</v>
      </c>
      <c r="R29" s="40">
        <v>224</v>
      </c>
      <c r="T29" s="40">
        <v>423</v>
      </c>
      <c r="U29" s="40">
        <v>202</v>
      </c>
      <c r="W29" s="40"/>
      <c r="X29" s="40"/>
      <c r="Z29" s="40">
        <v>413</v>
      </c>
      <c r="AA29" s="40">
        <v>214</v>
      </c>
      <c r="AC29" s="40">
        <v>412</v>
      </c>
      <c r="AD29" s="40">
        <v>390</v>
      </c>
      <c r="AE29" s="40">
        <v>201</v>
      </c>
      <c r="AF29" s="40">
        <v>206</v>
      </c>
      <c r="AH29" s="40">
        <v>285</v>
      </c>
      <c r="AI29" s="40">
        <v>317</v>
      </c>
      <c r="AJ29" s="40">
        <v>211</v>
      </c>
      <c r="AK29" s="40">
        <v>257</v>
      </c>
      <c r="AM29" s="40">
        <v>165</v>
      </c>
      <c r="AN29" s="40">
        <v>243</v>
      </c>
      <c r="AP29" s="40">
        <v>267</v>
      </c>
      <c r="AQ29" s="40">
        <v>244</v>
      </c>
      <c r="AS29" s="40">
        <v>323</v>
      </c>
      <c r="AT29" s="40">
        <v>141</v>
      </c>
      <c r="AV29" s="121">
        <v>656</v>
      </c>
      <c r="AW29" s="41"/>
      <c r="AX29" s="41"/>
      <c r="AY29" s="41"/>
    </row>
    <row r="30" spans="1:51" x14ac:dyDescent="0.25">
      <c r="A30" t="s">
        <v>333</v>
      </c>
      <c r="C30" s="40">
        <v>191</v>
      </c>
      <c r="D30" s="40">
        <v>143</v>
      </c>
      <c r="E30" s="40">
        <v>1</v>
      </c>
      <c r="F30" s="40">
        <v>0</v>
      </c>
      <c r="G30" s="40">
        <v>0</v>
      </c>
      <c r="I30" s="40">
        <v>183</v>
      </c>
      <c r="J30" s="40">
        <v>146</v>
      </c>
      <c r="L30" s="40">
        <v>171</v>
      </c>
      <c r="M30" s="40">
        <v>182</v>
      </c>
      <c r="N30" s="40">
        <v>146</v>
      </c>
      <c r="O30" s="40">
        <v>137</v>
      </c>
      <c r="Q30" s="40">
        <v>181</v>
      </c>
      <c r="R30" s="40">
        <v>141</v>
      </c>
      <c r="T30" s="40">
        <v>195</v>
      </c>
      <c r="U30" s="40">
        <v>133</v>
      </c>
      <c r="W30" s="40"/>
      <c r="X30" s="40"/>
      <c r="Z30" s="40">
        <v>188</v>
      </c>
      <c r="AA30" s="40">
        <v>135</v>
      </c>
      <c r="AC30" s="40">
        <v>191</v>
      </c>
      <c r="AD30" s="40">
        <v>191</v>
      </c>
      <c r="AE30" s="40">
        <v>124</v>
      </c>
      <c r="AF30" s="40">
        <v>123</v>
      </c>
      <c r="AH30" s="40">
        <v>173</v>
      </c>
      <c r="AI30" s="40">
        <v>163</v>
      </c>
      <c r="AJ30" s="40">
        <v>151</v>
      </c>
      <c r="AK30" s="40">
        <v>129</v>
      </c>
      <c r="AM30" s="40">
        <v>112</v>
      </c>
      <c r="AN30" s="40">
        <v>123</v>
      </c>
      <c r="AP30" s="40">
        <v>150</v>
      </c>
      <c r="AQ30" s="40">
        <v>112</v>
      </c>
      <c r="AS30" s="40">
        <v>172</v>
      </c>
      <c r="AT30" s="40">
        <v>67</v>
      </c>
      <c r="AV30" s="121">
        <v>340</v>
      </c>
      <c r="AW30" s="41"/>
      <c r="AX30" s="41"/>
      <c r="AY30" s="41"/>
    </row>
    <row r="31" spans="1:51" x14ac:dyDescent="0.25">
      <c r="A31" t="s">
        <v>334</v>
      </c>
      <c r="C31" s="40">
        <v>445</v>
      </c>
      <c r="D31" s="40">
        <v>171</v>
      </c>
      <c r="E31" s="40">
        <v>3</v>
      </c>
      <c r="F31" s="40">
        <v>3</v>
      </c>
      <c r="G31" s="40">
        <v>0</v>
      </c>
      <c r="I31" s="40">
        <v>432</v>
      </c>
      <c r="J31" s="40">
        <v>189</v>
      </c>
      <c r="L31" s="40">
        <v>408</v>
      </c>
      <c r="M31" s="40">
        <v>417</v>
      </c>
      <c r="N31" s="40">
        <v>189</v>
      </c>
      <c r="O31" s="40">
        <v>179</v>
      </c>
      <c r="Q31" s="40">
        <v>435</v>
      </c>
      <c r="R31" s="40">
        <v>171</v>
      </c>
      <c r="T31" s="40">
        <v>447</v>
      </c>
      <c r="U31" s="40">
        <v>151</v>
      </c>
      <c r="W31" s="40"/>
      <c r="X31" s="40"/>
      <c r="Z31" s="40">
        <v>439</v>
      </c>
      <c r="AA31" s="40">
        <v>158</v>
      </c>
      <c r="AC31" s="40">
        <v>456</v>
      </c>
      <c r="AD31" s="40">
        <v>433</v>
      </c>
      <c r="AE31" s="40">
        <v>142</v>
      </c>
      <c r="AF31" s="40">
        <v>157</v>
      </c>
      <c r="AH31" s="40">
        <v>254</v>
      </c>
      <c r="AI31" s="40">
        <v>310</v>
      </c>
      <c r="AJ31" s="40">
        <v>235</v>
      </c>
      <c r="AK31" s="40">
        <v>273</v>
      </c>
      <c r="AM31" s="40">
        <v>145</v>
      </c>
      <c r="AN31" s="40">
        <v>296</v>
      </c>
      <c r="AP31" s="40">
        <v>275</v>
      </c>
      <c r="AQ31" s="40">
        <v>204</v>
      </c>
      <c r="AS31" s="40">
        <v>325</v>
      </c>
      <c r="AT31" s="40">
        <v>130</v>
      </c>
      <c r="AV31" s="121">
        <v>623</v>
      </c>
      <c r="AW31" s="41"/>
      <c r="AX31" s="41"/>
      <c r="AY31" s="41"/>
    </row>
    <row r="32" spans="1:51" x14ac:dyDescent="0.25">
      <c r="A32" t="s">
        <v>335</v>
      </c>
      <c r="C32" s="40">
        <v>304</v>
      </c>
      <c r="D32" s="40">
        <v>139</v>
      </c>
      <c r="E32" s="40">
        <v>2</v>
      </c>
      <c r="F32" s="40">
        <v>0</v>
      </c>
      <c r="G32" s="40">
        <v>0</v>
      </c>
      <c r="I32" s="40">
        <v>286</v>
      </c>
      <c r="J32" s="40">
        <v>153</v>
      </c>
      <c r="L32" s="40">
        <v>287</v>
      </c>
      <c r="M32" s="40">
        <v>282</v>
      </c>
      <c r="N32" s="40">
        <v>138</v>
      </c>
      <c r="O32" s="40">
        <v>137</v>
      </c>
      <c r="Q32" s="40">
        <v>296</v>
      </c>
      <c r="R32" s="40">
        <v>129</v>
      </c>
      <c r="T32" s="40">
        <v>316</v>
      </c>
      <c r="U32" s="40">
        <v>115</v>
      </c>
      <c r="W32" s="40"/>
      <c r="X32" s="40"/>
      <c r="Z32" s="40">
        <v>304</v>
      </c>
      <c r="AA32" s="40">
        <v>121</v>
      </c>
      <c r="AC32" s="40">
        <v>293</v>
      </c>
      <c r="AD32" s="40">
        <v>287</v>
      </c>
      <c r="AE32" s="40">
        <v>123</v>
      </c>
      <c r="AF32" s="40">
        <v>127</v>
      </c>
      <c r="AH32" s="40">
        <v>184</v>
      </c>
      <c r="AI32" s="40">
        <v>203</v>
      </c>
      <c r="AJ32" s="40">
        <v>171</v>
      </c>
      <c r="AK32" s="40">
        <v>195</v>
      </c>
      <c r="AM32" s="40">
        <v>118</v>
      </c>
      <c r="AN32" s="40">
        <v>184</v>
      </c>
      <c r="AP32" s="40">
        <v>195</v>
      </c>
      <c r="AQ32" s="40">
        <v>147</v>
      </c>
      <c r="AS32" s="40">
        <v>231</v>
      </c>
      <c r="AT32" s="40">
        <v>94</v>
      </c>
      <c r="AV32" s="121">
        <v>447</v>
      </c>
      <c r="AW32" s="41"/>
      <c r="AX32" s="41"/>
      <c r="AY32" s="41"/>
    </row>
    <row r="33" spans="1:51" ht="15.75" thickBot="1" x14ac:dyDescent="0.3">
      <c r="AV33" s="181"/>
      <c r="AW33" s="181"/>
      <c r="AX33" s="181"/>
      <c r="AY33" s="181"/>
    </row>
    <row r="34" spans="1:51" ht="15.75" thickBot="1" x14ac:dyDescent="0.3">
      <c r="A34" s="50" t="s">
        <v>8</v>
      </c>
      <c r="B34" s="1"/>
      <c r="C34" s="51">
        <f t="shared" ref="C34:E34" si="0">+SUM(C11:C32)</f>
        <v>6559</v>
      </c>
      <c r="D34" s="51">
        <f t="shared" si="0"/>
        <v>3739</v>
      </c>
      <c r="E34" s="51">
        <f t="shared" si="0"/>
        <v>29</v>
      </c>
      <c r="F34" s="51">
        <f>+SUM(F11:F32)</f>
        <v>26</v>
      </c>
      <c r="G34" s="51">
        <f t="shared" ref="G34:N34" si="1">+SUM(G11:G32)</f>
        <v>4</v>
      </c>
      <c r="I34" s="51">
        <f t="shared" si="1"/>
        <v>6254</v>
      </c>
      <c r="J34" s="51">
        <f t="shared" si="1"/>
        <v>3944</v>
      </c>
      <c r="L34" s="51">
        <f t="shared" si="1"/>
        <v>6078</v>
      </c>
      <c r="M34" s="51">
        <f t="shared" si="1"/>
        <v>6225</v>
      </c>
      <c r="N34" s="51">
        <f t="shared" si="1"/>
        <v>3846</v>
      </c>
      <c r="O34" s="51">
        <f t="shared" ref="O34:AN34" si="2">+SUM(O11:O32)</f>
        <v>3672</v>
      </c>
      <c r="Q34" s="51">
        <f t="shared" si="2"/>
        <v>6354</v>
      </c>
      <c r="R34" s="51">
        <f t="shared" si="2"/>
        <v>3633</v>
      </c>
      <c r="T34" s="51">
        <f t="shared" si="2"/>
        <v>6724</v>
      </c>
      <c r="U34" s="51">
        <f t="shared" si="2"/>
        <v>3270</v>
      </c>
      <c r="W34" s="51">
        <f t="shared" si="2"/>
        <v>872</v>
      </c>
      <c r="X34" s="51">
        <f t="shared" si="2"/>
        <v>341</v>
      </c>
      <c r="Z34" s="51">
        <f t="shared" ref="Z34:AD34" si="3">+SUM(Z11:Z32)</f>
        <v>5638</v>
      </c>
      <c r="AA34" s="51">
        <f t="shared" si="3"/>
        <v>2979</v>
      </c>
      <c r="AC34" s="51">
        <f t="shared" si="3"/>
        <v>6488</v>
      </c>
      <c r="AD34" s="51">
        <f t="shared" si="3"/>
        <v>6318</v>
      </c>
      <c r="AE34" s="51">
        <f t="shared" si="2"/>
        <v>3279</v>
      </c>
      <c r="AF34" s="51">
        <f t="shared" si="2"/>
        <v>3282</v>
      </c>
      <c r="AH34" s="51">
        <f t="shared" ref="AH34:AJ34" si="4">+SUM(AH11:AH32)</f>
        <v>4426</v>
      </c>
      <c r="AI34" s="51">
        <f t="shared" si="4"/>
        <v>5059</v>
      </c>
      <c r="AJ34" s="51">
        <f t="shared" si="4"/>
        <v>3793</v>
      </c>
      <c r="AK34" s="51">
        <f t="shared" ref="AK34:AM34" si="5">+SUM(AK11:AK32)</f>
        <v>4264</v>
      </c>
      <c r="AM34" s="51">
        <f t="shared" si="5"/>
        <v>2830</v>
      </c>
      <c r="AN34" s="51">
        <f t="shared" si="2"/>
        <v>4042</v>
      </c>
      <c r="AP34" s="51">
        <f t="shared" ref="AP34:AQ34" si="6">+SUM(AP11:AP32)</f>
        <v>4251</v>
      </c>
      <c r="AQ34" s="51">
        <f t="shared" si="6"/>
        <v>3886</v>
      </c>
      <c r="AS34" s="51">
        <f t="shared" ref="AS34:AT34" si="7">+SUM(AS11:AS32)</f>
        <v>5150</v>
      </c>
      <c r="AT34" s="51">
        <f t="shared" si="7"/>
        <v>2492</v>
      </c>
      <c r="AV34" s="51">
        <f t="shared" ref="AV34:AY34" si="8">+SUM(AV11:AV32)</f>
        <v>10436</v>
      </c>
      <c r="AW34" s="51">
        <f t="shared" si="8"/>
        <v>993</v>
      </c>
      <c r="AX34" s="51">
        <f t="shared" si="8"/>
        <v>2379</v>
      </c>
      <c r="AY34" s="51">
        <f t="shared" si="8"/>
        <v>320</v>
      </c>
    </row>
    <row r="35" spans="1:51" x14ac:dyDescent="0.25">
      <c r="A35" s="92" t="s">
        <v>146</v>
      </c>
      <c r="B35" s="1"/>
      <c r="C35" s="53">
        <f>4+79+419</f>
        <v>502</v>
      </c>
      <c r="D35" s="53">
        <f>6+60+416</f>
        <v>482</v>
      </c>
      <c r="E35" s="53">
        <v>1</v>
      </c>
      <c r="F35" s="53">
        <v>1</v>
      </c>
      <c r="G35" s="53">
        <v>0</v>
      </c>
      <c r="H35" s="138"/>
      <c r="I35" s="53">
        <f>4+78+403</f>
        <v>485</v>
      </c>
      <c r="J35" s="53">
        <f>6+60+417</f>
        <v>483</v>
      </c>
      <c r="K35" s="138"/>
      <c r="L35" s="53">
        <f>3+78+382</f>
        <v>463</v>
      </c>
      <c r="M35" s="53">
        <f>4+77+403</f>
        <v>484</v>
      </c>
      <c r="N35" s="53">
        <f>6+58+423</f>
        <v>487</v>
      </c>
      <c r="O35" s="53">
        <f>6+59+414</f>
        <v>479</v>
      </c>
      <c r="P35" s="138"/>
      <c r="Q35" s="53">
        <f>3+77+398</f>
        <v>478</v>
      </c>
      <c r="R35" s="53">
        <f>6+59+414</f>
        <v>479</v>
      </c>
      <c r="S35" s="138"/>
      <c r="T35" s="53">
        <f>4+84+437</f>
        <v>525</v>
      </c>
      <c r="U35" s="53">
        <f>6+52+377</f>
        <v>435</v>
      </c>
      <c r="V35" s="138"/>
      <c r="W35" s="53">
        <f>80</f>
        <v>80</v>
      </c>
      <c r="X35" s="53">
        <f>55</f>
        <v>55</v>
      </c>
      <c r="Y35" s="138"/>
      <c r="Z35" s="53">
        <v>426</v>
      </c>
      <c r="AA35" s="53">
        <v>388</v>
      </c>
      <c r="AB35" s="138"/>
      <c r="AC35" s="53">
        <f>4+81+431</f>
        <v>516</v>
      </c>
      <c r="AD35" s="53">
        <f>5+82+423</f>
        <v>510</v>
      </c>
      <c r="AE35" s="53">
        <f>6+51+383</f>
        <v>440</v>
      </c>
      <c r="AF35" s="53">
        <f>4+55+385</f>
        <v>444</v>
      </c>
      <c r="AG35" s="138"/>
      <c r="AH35" s="53">
        <f>3+58+404</f>
        <v>465</v>
      </c>
      <c r="AI35" s="53">
        <f>4+66+433</f>
        <v>503</v>
      </c>
      <c r="AJ35" s="53">
        <f>2+61+383</f>
        <v>446</v>
      </c>
      <c r="AK35" s="53">
        <f>2+70+388</f>
        <v>460</v>
      </c>
      <c r="AL35" s="138"/>
      <c r="AM35" s="53">
        <f>2+37+256</f>
        <v>295</v>
      </c>
      <c r="AN35" s="53">
        <f>4+57+328</f>
        <v>389</v>
      </c>
      <c r="AO35" s="138"/>
      <c r="AP35" s="53">
        <f>3+51+393</f>
        <v>447</v>
      </c>
      <c r="AQ35" s="53">
        <f>5+83+378</f>
        <v>466</v>
      </c>
      <c r="AR35" s="138"/>
      <c r="AS35" s="53">
        <f>4+86+527</f>
        <v>617</v>
      </c>
      <c r="AT35" s="53">
        <f>4+49+243</f>
        <v>296</v>
      </c>
    </row>
    <row r="36" spans="1:51" x14ac:dyDescent="0.25">
      <c r="A36" s="92" t="s">
        <v>43</v>
      </c>
      <c r="B36" s="1"/>
      <c r="C36" s="41">
        <v>667</v>
      </c>
      <c r="D36" s="41">
        <v>1660</v>
      </c>
      <c r="E36" s="41">
        <v>12</v>
      </c>
      <c r="F36" s="41">
        <v>5</v>
      </c>
      <c r="G36" s="41">
        <v>6</v>
      </c>
      <c r="H36" s="138"/>
      <c r="I36" s="41">
        <v>663</v>
      </c>
      <c r="J36" s="41">
        <v>1682</v>
      </c>
      <c r="K36" s="138"/>
      <c r="L36" s="41">
        <v>706</v>
      </c>
      <c r="M36" s="41">
        <v>686</v>
      </c>
      <c r="N36" s="41">
        <v>1618</v>
      </c>
      <c r="O36" s="41">
        <v>1597</v>
      </c>
      <c r="P36" s="138"/>
      <c r="Q36" s="41">
        <v>690</v>
      </c>
      <c r="R36" s="41">
        <v>1597</v>
      </c>
      <c r="S36" s="138"/>
      <c r="T36" s="41">
        <v>807</v>
      </c>
      <c r="U36" s="41">
        <v>1487</v>
      </c>
      <c r="V36" s="138"/>
      <c r="W36" s="41">
        <v>88</v>
      </c>
      <c r="X36" s="41">
        <v>143</v>
      </c>
      <c r="Y36" s="138"/>
      <c r="Z36" s="41">
        <v>647</v>
      </c>
      <c r="AA36" s="41">
        <v>1357</v>
      </c>
      <c r="AB36" s="138"/>
      <c r="AC36" s="41">
        <v>775</v>
      </c>
      <c r="AD36" s="41">
        <v>710</v>
      </c>
      <c r="AE36" s="41">
        <v>1515</v>
      </c>
      <c r="AF36" s="41">
        <v>1554</v>
      </c>
      <c r="AG36" s="138"/>
      <c r="AH36" s="41">
        <v>1282</v>
      </c>
      <c r="AI36" s="41">
        <v>1157</v>
      </c>
      <c r="AJ36" s="41">
        <v>1025</v>
      </c>
      <c r="AK36" s="41">
        <v>1135</v>
      </c>
      <c r="AL36" s="138"/>
      <c r="AM36" s="41">
        <v>785</v>
      </c>
      <c r="AN36" s="41">
        <v>828</v>
      </c>
      <c r="AO36" s="138"/>
      <c r="AP36" s="41">
        <v>889</v>
      </c>
      <c r="AQ36" s="41">
        <v>1130</v>
      </c>
      <c r="AR36" s="138"/>
      <c r="AS36" s="41">
        <v>1308</v>
      </c>
      <c r="AT36" s="41">
        <v>658</v>
      </c>
    </row>
    <row r="37" spans="1:51" s="191" customFormat="1" x14ac:dyDescent="0.25">
      <c r="A37" s="94" t="s">
        <v>644</v>
      </c>
      <c r="B37" s="192"/>
      <c r="C37" s="95">
        <v>19</v>
      </c>
      <c r="D37" s="95">
        <v>21</v>
      </c>
      <c r="E37" s="95">
        <v>0</v>
      </c>
      <c r="F37" s="95">
        <v>0</v>
      </c>
      <c r="G37" s="95">
        <v>0</v>
      </c>
      <c r="H37" s="138"/>
      <c r="I37" s="95">
        <v>19</v>
      </c>
      <c r="J37" s="95">
        <v>20</v>
      </c>
      <c r="K37" s="138"/>
      <c r="L37" s="95">
        <v>18</v>
      </c>
      <c r="M37" s="95">
        <v>19</v>
      </c>
      <c r="N37" s="95">
        <v>22</v>
      </c>
      <c r="O37" s="95">
        <v>21</v>
      </c>
      <c r="P37" s="138"/>
      <c r="Q37" s="95">
        <v>19</v>
      </c>
      <c r="R37" s="95">
        <v>21</v>
      </c>
      <c r="S37" s="138"/>
      <c r="T37" s="95">
        <v>20</v>
      </c>
      <c r="U37" s="95">
        <v>20</v>
      </c>
      <c r="V37" s="138"/>
      <c r="W37" s="95">
        <v>5</v>
      </c>
      <c r="X37" s="95">
        <v>3</v>
      </c>
      <c r="Y37" s="138"/>
      <c r="Z37" s="95">
        <v>14</v>
      </c>
      <c r="AA37" s="95">
        <v>17</v>
      </c>
      <c r="AB37" s="138"/>
      <c r="AC37" s="95">
        <v>19</v>
      </c>
      <c r="AD37" s="95">
        <v>19</v>
      </c>
      <c r="AE37" s="95">
        <v>21</v>
      </c>
      <c r="AF37" s="95">
        <v>21</v>
      </c>
      <c r="AG37" s="138"/>
      <c r="AH37" s="95">
        <v>19</v>
      </c>
      <c r="AI37" s="95">
        <v>21</v>
      </c>
      <c r="AJ37" s="95">
        <v>24</v>
      </c>
      <c r="AK37" s="95">
        <v>15</v>
      </c>
      <c r="AL37" s="138"/>
      <c r="AM37" s="95">
        <v>14</v>
      </c>
      <c r="AN37" s="95">
        <v>13</v>
      </c>
      <c r="AO37" s="138"/>
      <c r="AP37" s="95">
        <v>22</v>
      </c>
      <c r="AQ37" s="95">
        <v>16</v>
      </c>
      <c r="AR37" s="138"/>
      <c r="AS37" s="95">
        <v>31</v>
      </c>
      <c r="AT37" s="95">
        <v>6</v>
      </c>
    </row>
    <row r="38" spans="1:51" x14ac:dyDescent="0.25">
      <c r="A38" s="94" t="s">
        <v>645</v>
      </c>
      <c r="B38" s="1"/>
      <c r="C38" s="95">
        <v>138</v>
      </c>
      <c r="D38" s="95">
        <v>130</v>
      </c>
      <c r="E38" s="95">
        <v>5</v>
      </c>
      <c r="F38" s="95">
        <v>2</v>
      </c>
      <c r="G38" s="95">
        <v>0</v>
      </c>
      <c r="H38" s="138"/>
      <c r="I38" s="95">
        <v>140</v>
      </c>
      <c r="J38" s="95">
        <v>134</v>
      </c>
      <c r="K38" s="138"/>
      <c r="L38" s="95">
        <v>134</v>
      </c>
      <c r="M38" s="95">
        <v>136</v>
      </c>
      <c r="N38" s="95">
        <v>128</v>
      </c>
      <c r="O38" s="95">
        <v>134</v>
      </c>
      <c r="P38" s="138"/>
      <c r="Q38" s="95">
        <v>127</v>
      </c>
      <c r="R38" s="95">
        <v>136</v>
      </c>
      <c r="S38" s="138"/>
      <c r="T38" s="95">
        <v>138</v>
      </c>
      <c r="U38" s="95">
        <v>123</v>
      </c>
      <c r="V38" s="138"/>
      <c r="W38" s="95">
        <v>22</v>
      </c>
      <c r="X38" s="95">
        <v>14</v>
      </c>
      <c r="Y38" s="138"/>
      <c r="Z38" s="95">
        <v>117</v>
      </c>
      <c r="AA38" s="95">
        <v>108</v>
      </c>
      <c r="AB38" s="138"/>
      <c r="AC38" s="95">
        <v>140</v>
      </c>
      <c r="AD38" s="95">
        <v>134</v>
      </c>
      <c r="AE38" s="95">
        <v>123</v>
      </c>
      <c r="AF38" s="95">
        <v>120</v>
      </c>
      <c r="AG38" s="138"/>
      <c r="AH38" s="95">
        <v>107</v>
      </c>
      <c r="AI38" s="95">
        <v>117</v>
      </c>
      <c r="AJ38" s="95">
        <v>104</v>
      </c>
      <c r="AK38" s="95">
        <v>108</v>
      </c>
      <c r="AL38" s="138"/>
      <c r="AM38" s="95">
        <v>64</v>
      </c>
      <c r="AN38" s="95">
        <v>106</v>
      </c>
      <c r="AO38" s="138"/>
      <c r="AP38" s="95">
        <v>96</v>
      </c>
      <c r="AQ38" s="95">
        <v>99</v>
      </c>
      <c r="AR38" s="138"/>
      <c r="AS38" s="95">
        <v>126</v>
      </c>
      <c r="AT38" s="95">
        <v>62</v>
      </c>
    </row>
    <row r="39" spans="1:51" s="191" customFormat="1" ht="15.75" thickBot="1" x14ac:dyDescent="0.3">
      <c r="A39" s="94" t="s">
        <v>651</v>
      </c>
      <c r="B39" s="192"/>
      <c r="C39" s="95">
        <f>14+4</f>
        <v>18</v>
      </c>
      <c r="D39" s="95">
        <f>15+3</f>
        <v>18</v>
      </c>
      <c r="E39" s="95">
        <v>0</v>
      </c>
      <c r="F39" s="95">
        <v>0</v>
      </c>
      <c r="G39" s="95">
        <v>0</v>
      </c>
      <c r="H39" s="138"/>
      <c r="I39" s="95">
        <f>14+4</f>
        <v>18</v>
      </c>
      <c r="J39" s="95">
        <f>15+3</f>
        <v>18</v>
      </c>
      <c r="K39" s="138"/>
      <c r="L39" s="95">
        <f>14+4</f>
        <v>18</v>
      </c>
      <c r="M39" s="95">
        <f>14+4</f>
        <v>18</v>
      </c>
      <c r="N39" s="95">
        <f>14+3</f>
        <v>17</v>
      </c>
      <c r="O39" s="95">
        <f>15+3</f>
        <v>18</v>
      </c>
      <c r="P39" s="138"/>
      <c r="Q39" s="95">
        <f>14+4</f>
        <v>18</v>
      </c>
      <c r="R39" s="95">
        <f>16+3</f>
        <v>19</v>
      </c>
      <c r="S39" s="138"/>
      <c r="T39" s="95">
        <f>15+4</f>
        <v>19</v>
      </c>
      <c r="U39" s="95">
        <f>14+3</f>
        <v>17</v>
      </c>
      <c r="V39" s="138"/>
      <c r="W39" s="95">
        <f>1</f>
        <v>1</v>
      </c>
      <c r="X39" s="95">
        <f>1</f>
        <v>1</v>
      </c>
      <c r="Y39" s="138"/>
      <c r="Z39" s="95">
        <f>13</f>
        <v>13</v>
      </c>
      <c r="AA39" s="95">
        <f>14</f>
        <v>14</v>
      </c>
      <c r="AB39" s="138"/>
      <c r="AC39" s="95">
        <f>14+3</f>
        <v>17</v>
      </c>
      <c r="AD39" s="95">
        <f>15+3</f>
        <v>18</v>
      </c>
      <c r="AE39" s="95">
        <f>15+2</f>
        <v>17</v>
      </c>
      <c r="AF39" s="95">
        <f>15+2</f>
        <v>17</v>
      </c>
      <c r="AG39" s="138"/>
      <c r="AH39" s="95">
        <f>11+2</f>
        <v>13</v>
      </c>
      <c r="AI39" s="95">
        <f>10+1</f>
        <v>11</v>
      </c>
      <c r="AJ39" s="95">
        <f>9+0</f>
        <v>9</v>
      </c>
      <c r="AK39" s="95">
        <f>8+1</f>
        <v>9</v>
      </c>
      <c r="AL39" s="138"/>
      <c r="AM39" s="95">
        <f>2+1</f>
        <v>3</v>
      </c>
      <c r="AN39" s="95">
        <f>11+2</f>
        <v>13</v>
      </c>
      <c r="AO39" s="138"/>
      <c r="AP39" s="95">
        <f>11+3</f>
        <v>14</v>
      </c>
      <c r="AQ39" s="95">
        <f>6</f>
        <v>6</v>
      </c>
      <c r="AR39" s="138"/>
      <c r="AS39" s="95">
        <f>13+3</f>
        <v>16</v>
      </c>
      <c r="AT39" s="95">
        <f>4</f>
        <v>4</v>
      </c>
    </row>
    <row r="40" spans="1:51" ht="15.75" thickBot="1" x14ac:dyDescent="0.3">
      <c r="A40" s="50" t="s">
        <v>45</v>
      </c>
      <c r="B40" s="1"/>
      <c r="C40" s="51">
        <f>+SUM(C34:C39)</f>
        <v>7903</v>
      </c>
      <c r="D40" s="51">
        <f t="shared" ref="D40:G40" si="9">+SUM(D34:D39)</f>
        <v>6050</v>
      </c>
      <c r="E40" s="51">
        <f t="shared" si="9"/>
        <v>47</v>
      </c>
      <c r="F40" s="51">
        <f t="shared" si="9"/>
        <v>34</v>
      </c>
      <c r="G40" s="51">
        <f t="shared" si="9"/>
        <v>10</v>
      </c>
      <c r="I40" s="51">
        <f t="shared" ref="I40:J40" si="10">+SUM(I34:I39)</f>
        <v>7579</v>
      </c>
      <c r="J40" s="51">
        <f t="shared" si="10"/>
        <v>6281</v>
      </c>
      <c r="L40" s="51">
        <f t="shared" ref="L40:O40" si="11">+SUM(L34:L39)</f>
        <v>7417</v>
      </c>
      <c r="M40" s="51">
        <f t="shared" si="11"/>
        <v>7568</v>
      </c>
      <c r="N40" s="51">
        <f t="shared" si="11"/>
        <v>6118</v>
      </c>
      <c r="O40" s="51">
        <f t="shared" si="11"/>
        <v>5921</v>
      </c>
      <c r="Q40" s="51">
        <f t="shared" ref="Q40:R40" si="12">+SUM(Q34:Q39)</f>
        <v>7686</v>
      </c>
      <c r="R40" s="51">
        <f t="shared" si="12"/>
        <v>5885</v>
      </c>
      <c r="T40" s="51">
        <f t="shared" ref="T40:U40" si="13">+SUM(T34:T39)</f>
        <v>8233</v>
      </c>
      <c r="U40" s="51">
        <f t="shared" si="13"/>
        <v>5352</v>
      </c>
      <c r="W40" s="51">
        <f t="shared" ref="W40:X40" si="14">+SUM(W34:W39)</f>
        <v>1068</v>
      </c>
      <c r="X40" s="51">
        <f t="shared" si="14"/>
        <v>557</v>
      </c>
      <c r="Z40" s="51">
        <f t="shared" ref="Z40:AA40" si="15">+SUM(Z34:Z39)</f>
        <v>6855</v>
      </c>
      <c r="AA40" s="51">
        <f t="shared" si="15"/>
        <v>4863</v>
      </c>
      <c r="AC40" s="51">
        <f t="shared" ref="AC40:AF40" si="16">+SUM(AC34:AC39)</f>
        <v>7955</v>
      </c>
      <c r="AD40" s="51">
        <f t="shared" si="16"/>
        <v>7709</v>
      </c>
      <c r="AE40" s="51">
        <f t="shared" si="16"/>
        <v>5395</v>
      </c>
      <c r="AF40" s="51">
        <f t="shared" si="16"/>
        <v>5438</v>
      </c>
      <c r="AH40" s="51">
        <f t="shared" ref="AH40:AK40" si="17">+SUM(AH34:AH39)</f>
        <v>6312</v>
      </c>
      <c r="AI40" s="51">
        <f t="shared" si="17"/>
        <v>6868</v>
      </c>
      <c r="AJ40" s="51">
        <f t="shared" si="17"/>
        <v>5401</v>
      </c>
      <c r="AK40" s="51">
        <f t="shared" si="17"/>
        <v>5991</v>
      </c>
      <c r="AM40" s="51">
        <f t="shared" ref="AM40:AN40" si="18">+SUM(AM34:AM39)</f>
        <v>3991</v>
      </c>
      <c r="AN40" s="51">
        <f t="shared" si="18"/>
        <v>5391</v>
      </c>
      <c r="AP40" s="51">
        <f t="shared" ref="AP40:AQ40" si="19">+SUM(AP34:AP39)</f>
        <v>5719</v>
      </c>
      <c r="AQ40" s="51">
        <f t="shared" si="19"/>
        <v>5603</v>
      </c>
      <c r="AS40" s="51">
        <f t="shared" ref="AS40:AT40" si="20">+SUM(AS34:AS39)</f>
        <v>7248</v>
      </c>
      <c r="AT40" s="51">
        <f t="shared" si="20"/>
        <v>3518</v>
      </c>
    </row>
  </sheetData>
  <mergeCells count="24">
    <mergeCell ref="AV2:AY3"/>
    <mergeCell ref="AH3:AK3"/>
    <mergeCell ref="AH2:AK2"/>
    <mergeCell ref="AM1:AN1"/>
    <mergeCell ref="AM2:AN2"/>
    <mergeCell ref="AM3:AN3"/>
    <mergeCell ref="AP6:AP8"/>
    <mergeCell ref="AQ6:AQ8"/>
    <mergeCell ref="AP3:AQ3"/>
    <mergeCell ref="AS6:AS8"/>
    <mergeCell ref="AT6:AT8"/>
    <mergeCell ref="AS3:AT3"/>
    <mergeCell ref="C2:G2"/>
    <mergeCell ref="I2:O2"/>
    <mergeCell ref="C3:G3"/>
    <mergeCell ref="I3:J3"/>
    <mergeCell ref="L3:O3"/>
    <mergeCell ref="Q3:R3"/>
    <mergeCell ref="T3:U3"/>
    <mergeCell ref="W3:X3"/>
    <mergeCell ref="AC2:AF2"/>
    <mergeCell ref="Z2:AA2"/>
    <mergeCell ref="Z3:AA3"/>
    <mergeCell ref="AC3:AF3"/>
  </mergeCells>
  <pageMargins left="0.7" right="0.7" top="0.75" bottom="0.75" header="0.3" footer="0.3"/>
  <pageSetup paperSize="5" scale="75" orientation="landscape" r:id="rId1"/>
  <headerFooter>
    <oddHeader>&amp;C&amp;"-,Bold"General Elections Results - November 2, 2021
Prepared by the Office of Edward P. McGettigan, Atlantic County Clerk</oddHeader>
  </headerFooter>
  <colBreaks count="2" manualBreakCount="2">
    <brk id="18" max="1048575" man="1"/>
    <brk id="3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25</vt:i4>
      </vt:variant>
    </vt:vector>
  </HeadingPairs>
  <TitlesOfParts>
    <vt:vector size="49" baseType="lpstr">
      <vt:lpstr>Lead Sheet</vt:lpstr>
      <vt:lpstr>Absecon</vt:lpstr>
      <vt:lpstr>Atlantic City</vt:lpstr>
      <vt:lpstr>Brigantine</vt:lpstr>
      <vt:lpstr>Buena Borough</vt:lpstr>
      <vt:lpstr>Buena Vista Twp</vt:lpstr>
      <vt:lpstr>Corbin City</vt:lpstr>
      <vt:lpstr>Egg Harbor City</vt:lpstr>
      <vt:lpstr>Egg Harbor Twp</vt:lpstr>
      <vt:lpstr>Estell Manor</vt:lpstr>
      <vt:lpstr>Folsom</vt:lpstr>
      <vt:lpstr>Galloway Twp</vt:lpstr>
      <vt:lpstr>Hamilton Twp</vt:lpstr>
      <vt:lpstr>Hammonton</vt:lpstr>
      <vt:lpstr>Linwood</vt:lpstr>
      <vt:lpstr>Longport</vt:lpstr>
      <vt:lpstr>Margate</vt:lpstr>
      <vt:lpstr>Mullica Twp</vt:lpstr>
      <vt:lpstr>Northfield</vt:lpstr>
      <vt:lpstr>Pleasantville</vt:lpstr>
      <vt:lpstr>Port Republic</vt:lpstr>
      <vt:lpstr>Somers Point</vt:lpstr>
      <vt:lpstr>Ventnor</vt:lpstr>
      <vt:lpstr>Weymouth Twp</vt:lpstr>
      <vt:lpstr>'Lead Sheet'!Print_Area</vt:lpstr>
      <vt:lpstr>Absecon!Print_Titles</vt:lpstr>
      <vt:lpstr>'Atlantic City'!Print_Titles</vt:lpstr>
      <vt:lpstr>Brigantine!Print_Titles</vt:lpstr>
      <vt:lpstr>'Buena Borough'!Print_Titles</vt:lpstr>
      <vt:lpstr>'Buena Vista Twp'!Print_Titles</vt:lpstr>
      <vt:lpstr>'Corbin City'!Print_Titles</vt:lpstr>
      <vt:lpstr>'Egg Harbor City'!Print_Titles</vt:lpstr>
      <vt:lpstr>'Egg Harbor Twp'!Print_Titles</vt:lpstr>
      <vt:lpstr>'Estell Manor'!Print_Titles</vt:lpstr>
      <vt:lpstr>Folsom!Print_Titles</vt:lpstr>
      <vt:lpstr>'Galloway Twp'!Print_Titles</vt:lpstr>
      <vt:lpstr>'Hamilton Twp'!Print_Titles</vt:lpstr>
      <vt:lpstr>Hammonton!Print_Titles</vt:lpstr>
      <vt:lpstr>'Lead Sheet'!Print_Titles</vt:lpstr>
      <vt:lpstr>Linwood!Print_Titles</vt:lpstr>
      <vt:lpstr>Longport!Print_Titles</vt:lpstr>
      <vt:lpstr>Margate!Print_Titles</vt:lpstr>
      <vt:lpstr>'Mullica Twp'!Print_Titles</vt:lpstr>
      <vt:lpstr>Northfield!Print_Titles</vt:lpstr>
      <vt:lpstr>Pleasantville!Print_Titles</vt:lpstr>
      <vt:lpstr>'Port Republic'!Print_Titles</vt:lpstr>
      <vt:lpstr>'Somers Point'!Print_Titles</vt:lpstr>
      <vt:lpstr>Ventnor!Print_Titles</vt:lpstr>
      <vt:lpstr>'Weymouth Twp'!Print_Titles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2021-11-19T15:04:03Z</cp:lastPrinted>
  <dcterms:created xsi:type="dcterms:W3CDTF">2021-11-08T17:53:14Z</dcterms:created>
  <dcterms:modified xsi:type="dcterms:W3CDTF">2021-11-19T15:19:51Z</dcterms:modified>
</cp:coreProperties>
</file>